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1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codeName="ThisWorkbook"/>
  <xr:revisionPtr revIDLastSave="0" documentId="13_ncr:1_{B1549FE7-AFD1-4FD9-8E14-118370876D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ome Inputs" sheetId="3" r:id="rId1"/>
    <sheet name="Expense Inputs" sheetId="7" r:id="rId2"/>
    <sheet name="All Categories" sheetId="8" state="hidden" r:id="rId3"/>
    <sheet name="Budget Summary" sheetId="1" r:id="rId4"/>
  </sheets>
  <definedNames>
    <definedName name="_xlnm._FilterDatabase" localSheetId="3" hidden="1">'Income Inputs'!#REF!</definedName>
    <definedName name="_xlnm._FilterDatabase" localSheetId="0" hidden="1">'Income Inputs'!#REF!</definedName>
    <definedName name="BUDGET_Title">'Budget Summary'!$B$2</definedName>
    <definedName name="ColumnTitle1">'Budget Summary'!$B$6</definedName>
    <definedName name="COMPANY_NAME">'Budget Summary'!$B$1</definedName>
    <definedName name="_xlnm.Print_Titles" localSheetId="0">'Income Inputs'!$5:$5</definedName>
    <definedName name="Title1">#REF!</definedName>
    <definedName name="Title2">Income[[#Headers],[INCOME]]</definedName>
    <definedName name="Title3">#REF!</definedName>
    <definedName name="Title4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" l="1"/>
  <c r="C11" i="3"/>
  <c r="B55" i="7"/>
  <c r="B18" i="7"/>
  <c r="A11" i="7"/>
  <c r="B27" i="7"/>
  <c r="B38" i="7"/>
  <c r="B45" i="7"/>
  <c r="B64" i="7"/>
  <c r="B70" i="7"/>
  <c r="B79" i="7"/>
  <c r="B88" i="7"/>
  <c r="B97" i="7"/>
  <c r="B105" i="7"/>
  <c r="B115" i="7"/>
  <c r="F112" i="7"/>
  <c r="F113" i="7"/>
  <c r="F114" i="7"/>
  <c r="E115" i="7"/>
  <c r="D115" i="7"/>
  <c r="F111" i="7"/>
  <c r="F110" i="7"/>
  <c r="F109" i="7"/>
  <c r="E105" i="7"/>
  <c r="D105" i="7"/>
  <c r="F104" i="7"/>
  <c r="F103" i="7"/>
  <c r="F102" i="7"/>
  <c r="F101" i="7"/>
  <c r="E97" i="7"/>
  <c r="D97" i="7"/>
  <c r="F96" i="7"/>
  <c r="F95" i="7"/>
  <c r="F94" i="7"/>
  <c r="F93" i="7"/>
  <c r="F92" i="7"/>
  <c r="E88" i="7"/>
  <c r="D88" i="7"/>
  <c r="F87" i="7"/>
  <c r="F86" i="7"/>
  <c r="F85" i="7"/>
  <c r="F84" i="7"/>
  <c r="F83" i="7"/>
  <c r="E79" i="7"/>
  <c r="D79" i="7"/>
  <c r="F78" i="7"/>
  <c r="F77" i="7"/>
  <c r="F76" i="7"/>
  <c r="F75" i="7"/>
  <c r="F74" i="7"/>
  <c r="E70" i="7"/>
  <c r="D70" i="7"/>
  <c r="F69" i="7"/>
  <c r="F68" i="7"/>
  <c r="E64" i="7"/>
  <c r="D64" i="7"/>
  <c r="F63" i="7"/>
  <c r="F62" i="7"/>
  <c r="F61" i="7"/>
  <c r="F60" i="7"/>
  <c r="F59" i="7"/>
  <c r="F50" i="7"/>
  <c r="F51" i="7"/>
  <c r="F52" i="7"/>
  <c r="E55" i="7"/>
  <c r="D55" i="7"/>
  <c r="F54" i="7"/>
  <c r="F53" i="7"/>
  <c r="F49" i="7"/>
  <c r="E45" i="7"/>
  <c r="D45" i="7"/>
  <c r="F44" i="7"/>
  <c r="F43" i="7"/>
  <c r="F42" i="7"/>
  <c r="F34" i="7"/>
  <c r="F35" i="7"/>
  <c r="F36" i="7"/>
  <c r="F37" i="7"/>
  <c r="E38" i="7"/>
  <c r="D38" i="7"/>
  <c r="F33" i="7"/>
  <c r="F32" i="7"/>
  <c r="F31" i="7"/>
  <c r="F24" i="7"/>
  <c r="F25" i="7"/>
  <c r="E27" i="7"/>
  <c r="D17" i="1" s="1"/>
  <c r="D27" i="7"/>
  <c r="C17" i="1" s="1"/>
  <c r="F26" i="7"/>
  <c r="F23" i="7"/>
  <c r="F22" i="7"/>
  <c r="D20" i="1" l="1"/>
  <c r="E20" i="1" s="1"/>
  <c r="F20" i="1" s="1"/>
  <c r="D18" i="1"/>
  <c r="C18" i="1"/>
  <c r="C22" i="1"/>
  <c r="D27" i="1"/>
  <c r="D22" i="1"/>
  <c r="C27" i="1"/>
  <c r="E17" i="1"/>
  <c r="F17" i="1" s="1"/>
  <c r="E19" i="1"/>
  <c r="F19" i="1" s="1"/>
  <c r="F115" i="7"/>
  <c r="F97" i="7"/>
  <c r="F105" i="7"/>
  <c r="F70" i="7"/>
  <c r="F79" i="7"/>
  <c r="F88" i="7"/>
  <c r="F64" i="7"/>
  <c r="F55" i="7"/>
  <c r="F45" i="7"/>
  <c r="F38" i="7"/>
  <c r="F27" i="7"/>
  <c r="C28" i="1" l="1"/>
  <c r="E24" i="1"/>
  <c r="F24" i="1" s="1"/>
  <c r="E23" i="1"/>
  <c r="F23" i="1" s="1"/>
  <c r="E21" i="1"/>
  <c r="F21" i="1" s="1"/>
  <c r="E27" i="1"/>
  <c r="F27" i="1" s="1"/>
  <c r="E18" i="1"/>
  <c r="F18" i="1" s="1"/>
  <c r="E22" i="1"/>
  <c r="F22" i="1" s="1"/>
  <c r="E25" i="1"/>
  <c r="F25" i="1" s="1"/>
  <c r="E26" i="1"/>
  <c r="F26" i="1" s="1"/>
  <c r="E18" i="7" l="1"/>
  <c r="D16" i="1" s="1"/>
  <c r="D28" i="1" s="1"/>
  <c r="D18" i="7"/>
  <c r="F17" i="7"/>
  <c r="F16" i="7"/>
  <c r="F15" i="7"/>
  <c r="E7" i="3"/>
  <c r="F7" i="3"/>
  <c r="E8" i="3"/>
  <c r="F8" i="3"/>
  <c r="E9" i="3"/>
  <c r="F9" i="3"/>
  <c r="E16" i="1" l="1"/>
  <c r="F16" i="1" s="1"/>
  <c r="E28" i="1"/>
  <c r="F28" i="1" s="1"/>
  <c r="F18" i="7"/>
  <c r="D11" i="7"/>
  <c r="C11" i="7"/>
  <c r="E10" i="7"/>
  <c r="E9" i="7"/>
  <c r="E8" i="7"/>
  <c r="E7" i="7"/>
  <c r="C8" i="1" l="1"/>
  <c r="D8" i="1"/>
  <c r="E15" i="1"/>
  <c r="F15" i="1" s="1"/>
  <c r="E8" i="1"/>
  <c r="F8" i="1"/>
  <c r="E11" i="7"/>
  <c r="D11" i="3" l="1"/>
  <c r="F10" i="3"/>
  <c r="E10" i="3"/>
  <c r="E6" i="3"/>
  <c r="C9" i="1" l="1"/>
  <c r="E7" i="1"/>
  <c r="F7" i="1"/>
  <c r="D9" i="1"/>
  <c r="F9" i="1" s="1"/>
  <c r="F11" i="3"/>
  <c r="E9" i="1" l="1"/>
</calcChain>
</file>

<file path=xl/sharedStrings.xml><?xml version="1.0" encoding="utf-8"?>
<sst xmlns="http://schemas.openxmlformats.org/spreadsheetml/2006/main" count="512" uniqueCount="146">
  <si>
    <t xml:space="preserve">     [INSERT MONTH]</t>
  </si>
  <si>
    <t xml:space="preserve">  INCOME</t>
  </si>
  <si>
    <t>*Update column C and D</t>
  </si>
  <si>
    <t>INCOME</t>
  </si>
  <si>
    <t>ESTIMATED</t>
  </si>
  <si>
    <t>ACTUAL</t>
  </si>
  <si>
    <t>TOP 5 AMOUNT</t>
  </si>
  <si>
    <t>DIFFERENCE</t>
  </si>
  <si>
    <t>Paycheck</t>
  </si>
  <si>
    <t>Returned Purchase</t>
  </si>
  <si>
    <t>Bonus</t>
  </si>
  <si>
    <t>Interest Income</t>
  </si>
  <si>
    <t>Other Income</t>
  </si>
  <si>
    <t>Total Income</t>
  </si>
  <si>
    <t>*Update column D and E in each table</t>
  </si>
  <si>
    <t xml:space="preserve"> </t>
  </si>
  <si>
    <t>EXPENSES</t>
  </si>
  <si>
    <t>Housing</t>
  </si>
  <si>
    <t>Column1</t>
  </si>
  <si>
    <t>Mortgage Payments</t>
  </si>
  <si>
    <t>Home Insurance</t>
  </si>
  <si>
    <t>-</t>
  </si>
  <si>
    <t>Education</t>
  </si>
  <si>
    <t>Category</t>
  </si>
  <si>
    <t>Tuition</t>
  </si>
  <si>
    <t>Student Loan</t>
  </si>
  <si>
    <t>Books &amp; Supplies</t>
  </si>
  <si>
    <t>Shopping</t>
  </si>
  <si>
    <t>Clothing</t>
  </si>
  <si>
    <t>Books</t>
  </si>
  <si>
    <t>Electronics &amp; Software</t>
  </si>
  <si>
    <t>Pumpkin</t>
  </si>
  <si>
    <t>Sporting Goods</t>
  </si>
  <si>
    <t>Health &amp; Fitness</t>
  </si>
  <si>
    <t>Dentist</t>
  </si>
  <si>
    <t>Doctor</t>
  </si>
  <si>
    <t>Eye Care</t>
  </si>
  <si>
    <t>Pharmacy</t>
  </si>
  <si>
    <t>Pet Insurance</t>
  </si>
  <si>
    <t>Gym</t>
  </si>
  <si>
    <t>Sports</t>
  </si>
  <si>
    <t>Personal Care</t>
  </si>
  <si>
    <t>Laundry</t>
  </si>
  <si>
    <t>Hair</t>
  </si>
  <si>
    <t>Spa &amp; Massage</t>
  </si>
  <si>
    <t>Kids</t>
  </si>
  <si>
    <t>Activities</t>
  </si>
  <si>
    <t>Allowance</t>
  </si>
  <si>
    <t>Baby Supplies</t>
  </si>
  <si>
    <t>Babysitter &amp; Daycare</t>
  </si>
  <si>
    <t>Child Support</t>
  </si>
  <si>
    <t>Toys</t>
  </si>
  <si>
    <t>Food &amp; Dining</t>
  </si>
  <si>
    <t>Groceries</t>
  </si>
  <si>
    <t>Coffee Shops</t>
  </si>
  <si>
    <t>Hello Fresh</t>
  </si>
  <si>
    <t>Restaurants</t>
  </si>
  <si>
    <t>Alcohol</t>
  </si>
  <si>
    <t>Gifts &amp; Donations</t>
  </si>
  <si>
    <t>Gift</t>
  </si>
  <si>
    <t>Charity</t>
  </si>
  <si>
    <t>Investments</t>
  </si>
  <si>
    <t>Deposit</t>
  </si>
  <si>
    <t>Withdrawal</t>
  </si>
  <si>
    <t>Dividends &amp; Cap Gains</t>
  </si>
  <si>
    <t>Buy</t>
  </si>
  <si>
    <t>Sell</t>
  </si>
  <si>
    <t>Bills &amp; Utilities</t>
  </si>
  <si>
    <t>Cable TV</t>
  </si>
  <si>
    <t>Cell Phone</t>
  </si>
  <si>
    <t>Internet</t>
  </si>
  <si>
    <t>Hydro/Power</t>
  </si>
  <si>
    <t>Utilities and HOA</t>
  </si>
  <si>
    <t>Auto &amp; Transportation</t>
  </si>
  <si>
    <t>Gas &amp; Fuel</t>
  </si>
  <si>
    <t>Parking</t>
  </si>
  <si>
    <t>Service &amp; Auto Parts</t>
  </si>
  <si>
    <t>Auto Payment</t>
  </si>
  <si>
    <t>Auto Insurance</t>
  </si>
  <si>
    <t>Travel</t>
  </si>
  <si>
    <t>Air Travel</t>
  </si>
  <si>
    <t>Hotel</t>
  </si>
  <si>
    <t>Rental Car &amp; Taxi</t>
  </si>
  <si>
    <t>Vacation</t>
  </si>
  <si>
    <t>Fees &amp; Charges</t>
  </si>
  <si>
    <t>Late Fee</t>
  </si>
  <si>
    <t>Finance Charge</t>
  </si>
  <si>
    <t>ATM Fee</t>
  </si>
  <si>
    <t>Bank Fee</t>
  </si>
  <si>
    <t>Commissions</t>
  </si>
  <si>
    <t>Parent</t>
  </si>
  <si>
    <t>Item</t>
  </si>
  <si>
    <t>Income / Expense</t>
  </si>
  <si>
    <t>Income</t>
  </si>
  <si>
    <t>Investment</t>
  </si>
  <si>
    <t>Reimbursement</t>
  </si>
  <si>
    <t>Rental Income</t>
  </si>
  <si>
    <t>Entertainment</t>
  </si>
  <si>
    <t>Arts</t>
  </si>
  <si>
    <t>Expenses</t>
  </si>
  <si>
    <t>Music</t>
  </si>
  <si>
    <t>Movies &amp; DVDs</t>
  </si>
  <si>
    <t>Newspaper &amp; Magazines</t>
  </si>
  <si>
    <t>Hobbies</t>
  </si>
  <si>
    <t>Health Insurance</t>
  </si>
  <si>
    <t>Fast Food</t>
  </si>
  <si>
    <t>Television</t>
  </si>
  <si>
    <t>Home Phone</t>
  </si>
  <si>
    <t>Mobile Phone</t>
  </si>
  <si>
    <t>Utilities</t>
  </si>
  <si>
    <t>Service Fee</t>
  </si>
  <si>
    <t>Business Services</t>
  </si>
  <si>
    <t>Advertising</t>
  </si>
  <si>
    <t>Office Supplies</t>
  </si>
  <si>
    <t>Printing</t>
  </si>
  <si>
    <t>Shipping</t>
  </si>
  <si>
    <t>Legal</t>
  </si>
  <si>
    <t>Taxes</t>
  </si>
  <si>
    <t>Federal Tax</t>
  </si>
  <si>
    <t>State Tax</t>
  </si>
  <si>
    <t>Local Tax</t>
  </si>
  <si>
    <t>Sales Tax</t>
  </si>
  <si>
    <t>Property Tax</t>
  </si>
  <si>
    <t xml:space="preserve">  BUDGET TRACKER</t>
  </si>
  <si>
    <t>*Automatic view based on "Income Inputs" and "Expense Inputs"</t>
  </si>
  <si>
    <t>Budget Breakdown</t>
  </si>
  <si>
    <t>BUDGET TOTALS</t>
  </si>
  <si>
    <t>% DIFFERENCE</t>
  </si>
  <si>
    <t>Total Expenses</t>
  </si>
  <si>
    <t>Balance (Income - Expenses)</t>
  </si>
  <si>
    <t>EXPENSE CATEGORIES</t>
  </si>
  <si>
    <t>Status</t>
  </si>
  <si>
    <t>Total Rent</t>
  </si>
  <si>
    <t>Total Education</t>
  </si>
  <si>
    <t>Total Shopping</t>
  </si>
  <si>
    <t>Total Personal Care</t>
  </si>
  <si>
    <t>Total Health &amp; Fitness</t>
  </si>
  <si>
    <t>Total Dog</t>
  </si>
  <si>
    <t>Total Food &amp; Dining</t>
  </si>
  <si>
    <t>Total Gifts &amp; Donations</t>
  </si>
  <si>
    <t>Total Investments</t>
  </si>
  <si>
    <t>Total Bills &amp; Utilities</t>
  </si>
  <si>
    <t>Total Travel</t>
  </si>
  <si>
    <t>Total Fees &amp; Charges</t>
  </si>
  <si>
    <t>MONTHLY EXPENSES</t>
  </si>
  <si>
    <t>[INSERT MONTH]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</si>
</sst>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164" formatCode="mmmm\ yyyy"/>
    <numFmt numFmtId="165" formatCode="0.0%"/>
    <numFmt numFmtId="166" formatCode="mm/dd/yy;@"/>
    <numFmt numFmtId="167" formatCode="&quot;$&quot;#,##0"/>
    <numFmt numFmtId="168" formatCode="&quot;$&quot;#,##0.00"/>
    <numFmt numFmtId="169" formatCode="#,##0.0_);[Red]\(#,##0.0\)"/>
  </numFmts>
  <fonts count="30" x14ac:knownFonts="1">
    <font>
      <sz val="11"/>
      <color theme="1" tint="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sz val="11"/>
      <color theme="2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color theme="0"/>
      <name val="Gill Sans MT"/>
      <family val="2"/>
      <scheme val="major"/>
    </font>
    <font>
      <sz val="15"/>
      <color theme="0"/>
      <name val="Gill Sans MT"/>
      <family val="2"/>
      <scheme val="major"/>
    </font>
    <font>
      <sz val="30"/>
      <color theme="0"/>
      <name val="Gill Sans MT"/>
      <family val="2"/>
      <scheme val="major"/>
    </font>
    <font>
      <sz val="11"/>
      <color theme="1" tint="0.24994659260841701"/>
      <name val="Gill Sans MT"/>
      <family val="2"/>
      <scheme val="minor"/>
    </font>
    <font>
      <b/>
      <sz val="11"/>
      <name val="Gill Sans MT"/>
      <family val="2"/>
      <scheme val="minor"/>
    </font>
    <font>
      <sz val="12"/>
      <color theme="0"/>
      <name val="Gill Sans MT"/>
      <family val="2"/>
      <scheme val="minor"/>
    </font>
    <font>
      <b/>
      <u/>
      <sz val="11"/>
      <color theme="1" tint="0.24994659260841701"/>
      <name val="Gill Sans MT"/>
      <family val="2"/>
      <scheme val="minor"/>
    </font>
    <font>
      <sz val="11"/>
      <color theme="3" tint="0.24994659260841701"/>
      <name val="Gill Sans MT"/>
      <family val="2"/>
      <scheme val="minor"/>
    </font>
    <font>
      <b/>
      <sz val="10"/>
      <color theme="3" tint="9.9948118533890809E-2"/>
      <name val="Gill Sans MT"/>
      <family val="2"/>
      <scheme val="major"/>
    </font>
    <font>
      <sz val="24"/>
      <color theme="3" tint="0.24994659260841701"/>
      <name val="Gill Sans MT"/>
      <family val="2"/>
      <scheme val="minor"/>
    </font>
    <font>
      <sz val="20"/>
      <color theme="0"/>
      <name val="Gill Sans MT"/>
      <family val="2"/>
      <scheme val="major"/>
    </font>
    <font>
      <sz val="13"/>
      <color theme="3" tint="0.24994659260841701"/>
      <name val="Gill Sans MT"/>
      <family val="2"/>
      <scheme val="major"/>
    </font>
    <font>
      <sz val="11"/>
      <color theme="4" tint="-0.24994659260841701"/>
      <name val="Gill Sans MT"/>
      <family val="2"/>
      <scheme val="major"/>
    </font>
    <font>
      <b/>
      <sz val="11"/>
      <color theme="0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b/>
      <sz val="14"/>
      <color theme="1"/>
      <name val="Gill Sans MT"/>
      <family val="2"/>
      <scheme val="minor"/>
    </font>
    <font>
      <sz val="11"/>
      <color rgb="FF000000"/>
      <name val="Gill Sans MT"/>
      <family val="2"/>
    </font>
    <font>
      <sz val="10"/>
      <color theme="1"/>
      <name val="Gill Sans MT"/>
      <family val="2"/>
      <scheme val="major"/>
    </font>
    <font>
      <sz val="30"/>
      <color rgb="FF000000"/>
      <name val="Gill Sans M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FDF8"/>
        <bgColor indexed="64"/>
      </patternFill>
    </fill>
    <fill>
      <patternFill patternType="solid">
        <fgColor rgb="FFF2F2F2"/>
      </patternFill>
    </fill>
    <fill>
      <patternFill patternType="solid">
        <fgColor rgb="FF1B8381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3A18F"/>
        <bgColor indexed="64"/>
      </patternFill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double">
        <color theme="8"/>
      </top>
      <bottom/>
      <diagonal/>
    </border>
  </borders>
  <cellStyleXfs count="26">
    <xf numFmtId="40" fontId="0" fillId="0" borderId="0">
      <alignment horizontal="center" vertical="center" wrapTex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16" fillId="0" borderId="0" applyNumberFormat="0" applyFill="0" applyAlignment="0" applyProtection="0"/>
    <xf numFmtId="0" fontId="8" fillId="5" borderId="0" applyBorder="0" applyProtection="0">
      <alignment horizontal="left" vertical="center" indent="1"/>
    </xf>
    <xf numFmtId="0" fontId="8" fillId="5" borderId="0" applyNumberFormat="0" applyBorder="0" applyProtection="0">
      <alignment horizontal="left" vertical="center"/>
    </xf>
    <xf numFmtId="0" fontId="2" fillId="0" borderId="0" applyNumberFormat="0" applyFill="0" applyAlignment="0" applyProtection="0"/>
    <xf numFmtId="0" fontId="5" fillId="0" borderId="0" applyNumberFormat="0" applyFill="0" applyBorder="0" applyAlignment="0" applyProtection="0"/>
    <xf numFmtId="40" fontId="2" fillId="0" borderId="0" applyFont="0" applyFill="0" applyBorder="0" applyProtection="0">
      <alignment horizontal="right"/>
    </xf>
    <xf numFmtId="165" fontId="2" fillId="0" borderId="0" applyFont="0" applyFill="0" applyBorder="0" applyProtection="0">
      <alignment horizontal="right"/>
    </xf>
    <xf numFmtId="164" fontId="7" fillId="4" borderId="0" applyFill="0" applyBorder="0">
      <alignment horizontal="right"/>
    </xf>
    <xf numFmtId="0" fontId="14" fillId="0" borderId="0" applyNumberFormat="0" applyProtection="0">
      <alignment horizontal="left" vertical="center" indent="1"/>
    </xf>
    <xf numFmtId="0" fontId="15" fillId="7" borderId="1" applyNumberFormat="0" applyFill="0" applyBorder="0" applyAlignment="0" applyProtection="0"/>
    <xf numFmtId="0" fontId="18" fillId="0" borderId="0"/>
    <xf numFmtId="0" fontId="21" fillId="9" borderId="0" applyNumberFormat="0" applyProtection="0">
      <alignment horizontal="left" vertical="center"/>
    </xf>
    <xf numFmtId="0" fontId="22" fillId="0" borderId="0" applyNumberFormat="0" applyProtection="0">
      <alignment horizontal="left"/>
    </xf>
    <xf numFmtId="0" fontId="23" fillId="0" borderId="2" applyNumberFormat="0" applyAlignment="0" applyProtection="0"/>
    <xf numFmtId="167" fontId="20" fillId="0" borderId="0" applyAlignment="0" applyProtection="0"/>
    <xf numFmtId="0" fontId="19" fillId="0" borderId="0" applyNumberFormat="0" applyFill="0" applyBorder="0" applyAlignment="0" applyProtection="0"/>
    <xf numFmtId="167" fontId="20" fillId="0" borderId="0">
      <alignment horizontal="left" vertical="top"/>
    </xf>
    <xf numFmtId="168" fontId="18" fillId="0" borderId="0">
      <alignment horizontal="left" vertical="center"/>
    </xf>
    <xf numFmtId="0" fontId="18" fillId="0" borderId="0">
      <alignment horizontal="left" vertical="center" wrapText="1"/>
    </xf>
    <xf numFmtId="14" fontId="18" fillId="0" borderId="0">
      <alignment horizontal="left" vertical="center"/>
    </xf>
    <xf numFmtId="44" fontId="14" fillId="0" borderId="0" applyFont="0" applyFill="0" applyBorder="0" applyAlignment="0" applyProtection="0"/>
  </cellStyleXfs>
  <cellXfs count="69">
    <xf numFmtId="40" fontId="0" fillId="0" borderId="0" xfId="0">
      <alignment horizontal="center" vertical="center" wrapText="1"/>
    </xf>
    <xf numFmtId="40" fontId="0" fillId="4" borderId="0" xfId="0" applyFill="1">
      <alignment horizontal="center" vertical="center" wrapText="1"/>
    </xf>
    <xf numFmtId="40" fontId="0" fillId="0" borderId="0" xfId="0" applyAlignment="1">
      <alignment vertical="center"/>
    </xf>
    <xf numFmtId="40" fontId="0" fillId="4" borderId="0" xfId="0" applyFill="1" applyAlignment="1">
      <alignment vertical="center"/>
    </xf>
    <xf numFmtId="40" fontId="10" fillId="4" borderId="0" xfId="0" applyFont="1" applyFill="1">
      <alignment horizontal="center" vertical="center" wrapText="1"/>
    </xf>
    <xf numFmtId="40" fontId="0" fillId="6" borderId="0" xfId="0" applyFill="1">
      <alignment horizontal="center" vertical="center" wrapText="1"/>
    </xf>
    <xf numFmtId="40" fontId="4" fillId="6" borderId="0" xfId="4" applyNumberFormat="1" applyFont="1" applyFill="1"/>
    <xf numFmtId="40" fontId="0" fillId="6" borderId="0" xfId="0" applyFill="1" applyAlignment="1">
      <alignment vertical="center"/>
    </xf>
    <xf numFmtId="40" fontId="4" fillId="6" borderId="0" xfId="8" applyNumberFormat="1" applyFont="1" applyFill="1"/>
    <xf numFmtId="0" fontId="4" fillId="6" borderId="0" xfId="3" applyFont="1" applyFill="1"/>
    <xf numFmtId="40" fontId="10" fillId="0" borderId="0" xfId="0" applyFont="1">
      <alignment horizontal="center" vertical="center" wrapText="1"/>
    </xf>
    <xf numFmtId="40" fontId="9" fillId="0" borderId="0" xfId="0" applyFont="1">
      <alignment horizontal="center" vertical="center" wrapText="1"/>
    </xf>
    <xf numFmtId="0" fontId="6" fillId="0" borderId="0" xfId="1"/>
    <xf numFmtId="166" fontId="11" fillId="8" borderId="0" xfId="0" applyNumberFormat="1" applyFont="1" applyFill="1" applyAlignment="1">
      <alignment horizontal="left" wrapText="1"/>
    </xf>
    <xf numFmtId="40" fontId="0" fillId="8" borderId="0" xfId="0" applyFill="1">
      <alignment horizontal="center" vertical="center" wrapText="1"/>
    </xf>
    <xf numFmtId="40" fontId="13" fillId="8" borderId="0" xfId="0" applyFont="1" applyFill="1" applyAlignment="1">
      <alignment vertical="center" wrapText="1"/>
    </xf>
    <xf numFmtId="40" fontId="16" fillId="8" borderId="0" xfId="5" applyNumberFormat="1" applyFill="1" applyAlignment="1">
      <alignment horizontal="left" vertical="center" indent="1"/>
    </xf>
    <xf numFmtId="40" fontId="16" fillId="8" borderId="0" xfId="5" applyNumberFormat="1" applyFill="1" applyAlignment="1">
      <alignment horizontal="center" vertical="center" wrapText="1"/>
    </xf>
    <xf numFmtId="40" fontId="13" fillId="0" borderId="0" xfId="0" applyFont="1" applyAlignment="1">
      <alignment vertical="center" wrapText="1"/>
    </xf>
    <xf numFmtId="40" fontId="0" fillId="0" borderId="0" xfId="0" applyAlignment="1">
      <alignment horizontal="center" wrapText="1"/>
    </xf>
    <xf numFmtId="40" fontId="13" fillId="8" borderId="0" xfId="0" applyFont="1" applyFill="1" applyAlignment="1">
      <alignment vertical="center"/>
    </xf>
    <xf numFmtId="40" fontId="12" fillId="8" borderId="0" xfId="0" applyFont="1" applyFill="1" applyAlignment="1">
      <alignment wrapText="1"/>
    </xf>
    <xf numFmtId="40" fontId="14" fillId="0" borderId="0" xfId="13" applyNumberFormat="1">
      <alignment horizontal="left" vertical="center" indent="1"/>
    </xf>
    <xf numFmtId="165" fontId="4" fillId="7" borderId="0" xfId="11" applyFont="1" applyFill="1" applyBorder="1" applyAlignment="1">
      <alignment horizontal="center" vertical="center"/>
    </xf>
    <xf numFmtId="40" fontId="17" fillId="10" borderId="0" xfId="0" applyFont="1" applyFill="1" applyAlignment="1">
      <alignment horizontal="left" vertical="center" indent="1"/>
    </xf>
    <xf numFmtId="40" fontId="0" fillId="10" borderId="0" xfId="0" applyFill="1" applyAlignment="1">
      <alignment horizontal="left" vertical="center" indent="1"/>
    </xf>
    <xf numFmtId="44" fontId="4" fillId="0" borderId="0" xfId="25" applyFont="1" applyBorder="1" applyAlignment="1">
      <alignment horizontal="center" vertical="center" wrapText="1"/>
    </xf>
    <xf numFmtId="44" fontId="15" fillId="7" borderId="0" xfId="25" applyFont="1" applyFill="1" applyBorder="1" applyAlignment="1">
      <alignment horizontal="center" vertical="center" wrapText="1"/>
    </xf>
    <xf numFmtId="44" fontId="0" fillId="0" borderId="0" xfId="25" applyFont="1" applyAlignment="1">
      <alignment horizontal="center" vertical="center" wrapText="1"/>
    </xf>
    <xf numFmtId="44" fontId="15" fillId="10" borderId="0" xfId="25" applyFont="1" applyFill="1" applyBorder="1" applyAlignment="1">
      <alignment horizontal="center" vertical="center" wrapText="1"/>
    </xf>
    <xf numFmtId="40" fontId="0" fillId="0" borderId="0" xfId="0" applyAlignment="1">
      <alignment horizontal="center" vertical="center"/>
    </xf>
    <xf numFmtId="40" fontId="0" fillId="0" borderId="0" xfId="0" applyAlignment="1"/>
    <xf numFmtId="44" fontId="0" fillId="10" borderId="0" xfId="0" applyNumberFormat="1" applyFill="1">
      <alignment horizontal="center" vertical="center" wrapText="1"/>
    </xf>
    <xf numFmtId="40" fontId="1" fillId="0" borderId="3" xfId="0" applyFont="1" applyBorder="1" applyAlignment="1"/>
    <xf numFmtId="40" fontId="1" fillId="0" borderId="4" xfId="0" applyFont="1" applyBorder="1" applyAlignment="1"/>
    <xf numFmtId="40" fontId="1" fillId="0" borderId="5" xfId="0" applyFont="1" applyBorder="1" applyAlignment="1"/>
    <xf numFmtId="40" fontId="1" fillId="0" borderId="6" xfId="0" applyFont="1" applyBorder="1" applyAlignment="1"/>
    <xf numFmtId="44" fontId="0" fillId="0" borderId="0" xfId="25" applyFont="1" applyBorder="1" applyAlignment="1">
      <alignment horizontal="center" vertical="center" wrapText="1"/>
    </xf>
    <xf numFmtId="40" fontId="1" fillId="0" borderId="0" xfId="0" applyFont="1" applyAlignment="1">
      <alignment horizontal="left" vertical="center" indent="1"/>
    </xf>
    <xf numFmtId="40" fontId="1" fillId="0" borderId="0" xfId="0" applyFont="1" applyAlignment="1">
      <alignment horizontal="center" vertical="center"/>
    </xf>
    <xf numFmtId="40" fontId="0" fillId="10" borderId="0" xfId="0" applyFill="1" applyAlignment="1">
      <alignment horizontal="center" vertical="center"/>
    </xf>
    <xf numFmtId="44" fontId="1" fillId="0" borderId="4" xfId="25" applyFont="1" applyBorder="1" applyAlignment="1">
      <alignment horizontal="center" vertical="center" wrapText="1"/>
    </xf>
    <xf numFmtId="40" fontId="0" fillId="0" borderId="0" xfId="0" applyAlignment="1">
      <alignment horizontal="left" vertical="center" indent="1"/>
    </xf>
    <xf numFmtId="40" fontId="24" fillId="8" borderId="0" xfId="0" applyFont="1" applyFill="1">
      <alignment horizontal="center" vertical="center" wrapText="1"/>
    </xf>
    <xf numFmtId="40" fontId="25" fillId="10" borderId="7" xfId="0" applyFont="1" applyFill="1" applyBorder="1" applyAlignment="1">
      <alignment horizontal="center" vertical="center"/>
    </xf>
    <xf numFmtId="44" fontId="25" fillId="10" borderId="7" xfId="0" applyNumberFormat="1" applyFont="1" applyFill="1" applyBorder="1">
      <alignment horizontal="center" vertical="center" wrapText="1"/>
    </xf>
    <xf numFmtId="44" fontId="27" fillId="0" borderId="0" xfId="25" applyFont="1" applyFill="1" applyAlignment="1">
      <alignment horizontal="center" vertical="center" wrapText="1"/>
    </xf>
    <xf numFmtId="169" fontId="1" fillId="0" borderId="0" xfId="0" applyNumberFormat="1" applyFont="1" applyAlignment="1">
      <alignment horizontal="left" vertical="center" indent="1"/>
    </xf>
    <xf numFmtId="40" fontId="13" fillId="0" borderId="0" xfId="0" applyFont="1">
      <alignment horizontal="center" vertical="center" wrapText="1"/>
    </xf>
    <xf numFmtId="40" fontId="13" fillId="0" borderId="0" xfId="0" applyFont="1" applyAlignment="1">
      <alignment horizontal="left" vertical="center" wrapText="1"/>
    </xf>
    <xf numFmtId="40" fontId="0" fillId="0" borderId="0" xfId="0" applyAlignment="1">
      <alignment horizontal="left" vertical="center" wrapText="1"/>
    </xf>
    <xf numFmtId="40" fontId="26" fillId="11" borderId="0" xfId="0" applyFont="1" applyFill="1" applyAlignment="1">
      <alignment horizontal="left" vertical="center" wrapText="1" indent="1"/>
    </xf>
    <xf numFmtId="40" fontId="0" fillId="8" borderId="0" xfId="0" applyFill="1" applyAlignment="1">
      <alignment horizontal="left" vertical="center" wrapText="1" indent="1"/>
    </xf>
    <xf numFmtId="40" fontId="0" fillId="0" borderId="0" xfId="0" applyAlignment="1">
      <alignment horizontal="left" vertical="center" wrapText="1" indent="1"/>
    </xf>
    <xf numFmtId="40" fontId="26" fillId="11" borderId="3" xfId="0" applyFont="1" applyFill="1" applyBorder="1" applyAlignment="1">
      <alignment horizontal="left" vertical="center" wrapText="1" indent="1"/>
    </xf>
    <xf numFmtId="40" fontId="17" fillId="0" borderId="0" xfId="0" applyFont="1" applyAlignment="1">
      <alignment horizontal="left" vertical="center" indent="1"/>
    </xf>
    <xf numFmtId="44" fontId="15" fillId="0" borderId="0" xfId="25" applyFont="1" applyFill="1" applyBorder="1" applyAlignment="1">
      <alignment horizontal="center" vertical="center" wrapText="1"/>
    </xf>
    <xf numFmtId="165" fontId="4" fillId="0" borderId="0" xfId="11" applyFont="1" applyFill="1" applyBorder="1" applyAlignment="1">
      <alignment horizontal="center" vertical="center"/>
    </xf>
    <xf numFmtId="44" fontId="25" fillId="0" borderId="4" xfId="25" applyFont="1" applyBorder="1" applyAlignment="1">
      <alignment horizontal="center" vertical="center" wrapText="1"/>
    </xf>
    <xf numFmtId="165" fontId="15" fillId="7" borderId="0" xfId="11" applyFont="1" applyFill="1" applyBorder="1" applyAlignment="1">
      <alignment horizontal="center" vertical="center"/>
    </xf>
    <xf numFmtId="40" fontId="28" fillId="12" borderId="0" xfId="0" applyFont="1" applyFill="1" applyAlignment="1">
      <alignment vertical="center"/>
    </xf>
    <xf numFmtId="40" fontId="13" fillId="0" borderId="0" xfId="0" applyFont="1" applyAlignment="1">
      <alignment vertical="center"/>
    </xf>
    <xf numFmtId="40" fontId="29" fillId="12" borderId="0" xfId="0" applyFont="1" applyFill="1" applyAlignment="1">
      <alignment vertical="center"/>
    </xf>
    <xf numFmtId="40" fontId="1" fillId="12" borderId="0" xfId="13" applyNumberFormat="1" applyFont="1" applyFill="1">
      <alignment horizontal="left" vertical="center" indent="1"/>
    </xf>
    <xf numFmtId="40" fontId="13" fillId="12" borderId="0" xfId="0" applyFont="1" applyFill="1">
      <alignment horizontal="center" vertical="center" wrapText="1"/>
    </xf>
    <xf numFmtId="40" fontId="13" fillId="12" borderId="0" xfId="0" applyFont="1" applyFill="1" applyAlignment="1">
      <alignment vertical="center" wrapText="1"/>
    </xf>
    <xf numFmtId="40" fontId="12" fillId="8" borderId="0" xfId="0" applyFont="1" applyFill="1" applyAlignment="1">
      <alignment horizontal="left" wrapText="1"/>
    </xf>
    <xf numFmtId="40" fontId="13" fillId="8" borderId="0" xfId="0" applyFont="1" applyFill="1" applyAlignment="1">
      <alignment vertical="center" wrapText="1"/>
    </xf>
    <xf numFmtId="40" fontId="0" fillId="8" borderId="0" xfId="0" applyFill="1" applyAlignment="1">
      <alignment horizontal="center" wrapText="1"/>
    </xf>
  </cellXfs>
  <cellStyles count="26">
    <cellStyle name="20% - Accent5" xfId="4" builtinId="46"/>
    <cellStyle name="60% - Accent4" xfId="3" builtinId="44" customBuiltin="1"/>
    <cellStyle name="Amount" xfId="22" xr:uid="{54CC64B0-939B-4A01-9040-95A3DA8C1CD1}"/>
    <cellStyle name="Comma" xfId="10" builtinId="3" customBuiltin="1"/>
    <cellStyle name="Currency" xfId="25" builtinId="4"/>
    <cellStyle name="Date" xfId="12" xr:uid="{00000000-0005-0000-0000-000003000000}"/>
    <cellStyle name="Date 2" xfId="24" xr:uid="{8CF60F69-1270-4398-9C5B-D6731B748598}"/>
    <cellStyle name="Heading 1" xfId="5" builtinId="16" customBuiltin="1"/>
    <cellStyle name="Heading 1 2" xfId="17" xr:uid="{2AF2BEC4-D872-4192-886F-468C4B636A66}"/>
    <cellStyle name="Heading 2" xfId="6" builtinId="17" customBuiltin="1"/>
    <cellStyle name="Heading 2 2" xfId="18" xr:uid="{406A93BB-7EC4-4A06-BB88-25DC873CB170}"/>
    <cellStyle name="Heading 3" xfId="7" builtinId="18" customBuiltin="1"/>
    <cellStyle name="Heading 3 2" xfId="19" xr:uid="{082BF479-28B0-4D1E-84E1-DE3EE4514F31}"/>
    <cellStyle name="Heading 4" xfId="2" builtinId="19" customBuiltin="1"/>
    <cellStyle name="Heading 4 2" xfId="20" xr:uid="{4B336E5A-E772-412D-85AB-78D52FE7D6C2}"/>
    <cellStyle name="Input" xfId="13" builtinId="20" customBuiltin="1"/>
    <cellStyle name="Item" xfId="23" xr:uid="{C86FE3BF-B7A1-4FD4-B40E-A09B80410965}"/>
    <cellStyle name="Normal" xfId="0" builtinId="0" customBuiltin="1"/>
    <cellStyle name="Normal 2" xfId="15" xr:uid="{0F2154B9-2534-49C8-9F30-09DDDAE9B395}"/>
    <cellStyle name="Output" xfId="14" builtinId="21" customBuiltin="1"/>
    <cellStyle name="Percent" xfId="11" builtinId="5" customBuiltin="1"/>
    <cellStyle name="Title" xfId="1" builtinId="15" customBuiltin="1"/>
    <cellStyle name="Title 2" xfId="16" xr:uid="{2D9542AF-7A34-47F6-97DC-699BE4A38E84}"/>
    <cellStyle name="Total" xfId="8" builtinId="25" customBuiltin="1"/>
    <cellStyle name="Totals" xfId="21" xr:uid="{D654A5CE-240D-4A83-994E-010357E98AD0}"/>
    <cellStyle name="Warning Text" xfId="9" builtinId="11" customBuiltin="1"/>
  </cellStyles>
  <dxfs count="2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Gill Sans MT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alignment horizontal="left" vertical="center" textRotation="0" wrapText="0" indent="1" justifyLastLine="0" shrinkToFit="0" readingOrder="0"/>
    </dxf>
    <dxf>
      <border outline="0">
        <right style="thin">
          <color rgb="FF5588A5"/>
        </right>
        <top style="thin">
          <color rgb="FF5588A5"/>
        </top>
        <bottom style="thin">
          <color rgb="FF5588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solid">
          <fgColor indexed="64"/>
          <bgColor rgb="FF1B838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rgb="FFF2F2F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 tint="0.24994659260841701"/>
        <name val="Gill Sans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/>
        <vertAlign val="baseline"/>
        <sz val="11"/>
        <name val="Gill Sans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</dxf>
    <dxf>
      <fill>
        <patternFill patternType="solid">
          <fgColor indexed="64"/>
          <bgColor rgb="FF1B838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DA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DA0000"/>
      </font>
    </dxf>
    <dxf>
      <font>
        <color rgb="FFDA0000"/>
      </font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1B8381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color theme="1"/>
      </font>
      <numFmt numFmtId="169" formatCode="#,##0.0_);[Red]\(#,##0.0\)"/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rgb="FF1B8381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color theme="1"/>
      </font>
      <numFmt numFmtId="169" formatCode="#,##0.0_);[Red]\(#,##0.0\)"/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rgb="FF1B8381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color rgb="FFDA0000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solid">
          <bgColor theme="0" tint="-4.9989318521683403E-2"/>
        </patternFill>
      </fill>
    </dxf>
    <dxf>
      <font>
        <b val="0"/>
        <i val="0"/>
        <color theme="1"/>
      </font>
      <fill>
        <patternFill patternType="solid">
          <fgColor theme="4"/>
          <bgColor theme="0" tint="-0.14996795556505021"/>
        </patternFill>
      </fill>
      <border>
        <top style="thin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6" tint="-0.49803155613879818"/>
          </stop>
          <stop position="1">
            <color theme="6" tint="-0.25098422193060094"/>
          </stop>
        </gradient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solid">
          <fgColor auto="1"/>
          <bgColor theme="0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2" defaultTableStyle="Monthly Budget" defaultPivotStyle="PivotStyleLight16">
    <tableStyle name="Monthly Budget" pivot="0" count="5" xr9:uid="{00000000-0011-0000-FFFF-FFFF00000000}">
      <tableStyleElement type="wholeTable" dxfId="227"/>
      <tableStyleElement type="headerRow" dxfId="226"/>
      <tableStyleElement type="totalRow" dxfId="225"/>
      <tableStyleElement type="lastColumn" dxfId="224"/>
      <tableStyleElement type="secondRowStripe" dxfId="223"/>
    </tableStyle>
    <tableStyle name="Personal budget table" pivot="0" count="3" xr9:uid="{9CE77D1B-BABE-4770-82A6-F3E5D0644789}">
      <tableStyleElement type="wholeTable" dxfId="222"/>
      <tableStyleElement type="headerRow" dxfId="221"/>
      <tableStyleElement type="totalRow" dxfId="220"/>
    </tableStyle>
  </tableStyles>
  <colors>
    <mruColors>
      <color rgb="FFA3A18F"/>
      <color rgb="FF8F96A3"/>
      <color rgb="FF2F3237"/>
      <color rgb="FF1B8381"/>
      <color rgb="FFEEEADE"/>
      <color rgb="FF44382C"/>
      <color rgb="FFFFFDF8"/>
      <color rgb="FFA7937B"/>
      <color rgb="FFF2F2F2"/>
      <color rgb="FF5A50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Budget Totals [Breakdown]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Summary'!$B$7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'Budget Summary'!$C$6:$F$6</c15:sqref>
                  </c15:fullRef>
                </c:ext>
              </c:extLst>
              <c:f>'Budget Summary'!$C$6:$D$6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Summary'!$C$7:$F$7</c15:sqref>
                  </c15:fullRef>
                </c:ext>
              </c:extLst>
              <c:f>'Budget Summary'!$C$7:$D$7</c:f>
              <c:numCache>
                <c:formatCode>_("$"* #,##0.00_);_("$"* \(#,##0.00\);_("$"* "-"??_);_(@_)</c:formatCode>
                <c:ptCount val="2"/>
                <c:pt idx="0">
                  <c:v>6000</c:v>
                </c:pt>
                <c:pt idx="1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5-4677-A832-ABF3F3B985A8}"/>
            </c:ext>
          </c:extLst>
        </c:ser>
        <c:ser>
          <c:idx val="1"/>
          <c:order val="1"/>
          <c:tx>
            <c:strRef>
              <c:f>'Budget Summary'!$B$8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'Budget Summary'!$C$6:$F$6</c15:sqref>
                  </c15:fullRef>
                </c:ext>
              </c:extLst>
              <c:f>'Budget Summary'!$C$6:$D$6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Summary'!$C$8:$F$8</c15:sqref>
                  </c15:fullRef>
                </c:ext>
              </c:extLst>
              <c:f>'Budget Summary'!$C$8:$D$8</c:f>
              <c:numCache>
                <c:formatCode>_("$"* #,##0.00_);_("$"* \(#,##0.00\);_("$"* "-"??_);_(@_)</c:formatCode>
                <c:ptCount val="2"/>
                <c:pt idx="0">
                  <c:v>4455.63</c:v>
                </c:pt>
                <c:pt idx="1">
                  <c:v>4455.63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5-4677-A832-ABF3F3B98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69344736"/>
        <c:axId val="969341408"/>
      </c:barChart>
      <c:catAx>
        <c:axId val="9693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341408"/>
        <c:crosses val="autoZero"/>
        <c:auto val="1"/>
        <c:lblAlgn val="ctr"/>
        <c:lblOffset val="100"/>
        <c:noMultiLvlLbl val="0"/>
      </c:catAx>
      <c:valAx>
        <c:axId val="96934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19050">
            <a:solidFill>
              <a:schemeClr val="accent1">
                <a:alpha val="98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34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 Breakdown by Budget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'Budget Summary'!$C$14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'Budget Summary'!$B$15:$B$27</c:f>
              <c:strCache>
                <c:ptCount val="13"/>
                <c:pt idx="0">
                  <c:v>Total Rent</c:v>
                </c:pt>
                <c:pt idx="1">
                  <c:v>Total Education</c:v>
                </c:pt>
                <c:pt idx="2">
                  <c:v>Total Shopping</c:v>
                </c:pt>
                <c:pt idx="3">
                  <c:v>Total Personal Care</c:v>
                </c:pt>
                <c:pt idx="4">
                  <c:v>Total Health &amp; Fitness</c:v>
                </c:pt>
                <c:pt idx="5">
                  <c:v>Total Dog</c:v>
                </c:pt>
                <c:pt idx="6">
                  <c:v>Total Food &amp; Dining</c:v>
                </c:pt>
                <c:pt idx="7">
                  <c:v>Total Gifts &amp; Donations</c:v>
                </c:pt>
                <c:pt idx="8">
                  <c:v>Total Investments</c:v>
                </c:pt>
                <c:pt idx="9">
                  <c:v>Total Bills &amp; Utilities</c:v>
                </c:pt>
                <c:pt idx="10">
                  <c:v>Alcohol</c:v>
                </c:pt>
                <c:pt idx="11">
                  <c:v>Total Travel</c:v>
                </c:pt>
                <c:pt idx="12">
                  <c:v>Total Fees &amp; Charges</c:v>
                </c:pt>
              </c:strCache>
            </c:strRef>
          </c:cat>
          <c:val>
            <c:numRef>
              <c:f>'Budget Summary'!$C$15:$C$27</c:f>
              <c:numCache>
                <c:formatCode>_("$"* #,##0.00_);_("$"* \(#,##0.00\);_("$"* "-"??_);_(@_)</c:formatCode>
                <c:ptCount val="13"/>
                <c:pt idx="0">
                  <c:v>2250</c:v>
                </c:pt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4">
                  <c:v>0</c:v>
                </c:pt>
                <c:pt idx="5">
                  <c:v>150</c:v>
                </c:pt>
                <c:pt idx="6">
                  <c:v>800</c:v>
                </c:pt>
                <c:pt idx="7">
                  <c:v>0</c:v>
                </c:pt>
                <c:pt idx="8">
                  <c:v>1000</c:v>
                </c:pt>
                <c:pt idx="9">
                  <c:v>40</c:v>
                </c:pt>
                <c:pt idx="10">
                  <c:v>300</c:v>
                </c:pt>
                <c:pt idx="11">
                  <c:v>200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A-4093-8163-890F80AEE497}"/>
            </c:ext>
          </c:extLst>
        </c:ser>
        <c:ser>
          <c:idx val="1"/>
          <c:order val="1"/>
          <c:tx>
            <c:strRef>
              <c:f>'Budget Summary'!$D$14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'Budget Summary'!$B$15:$B$27</c:f>
              <c:strCache>
                <c:ptCount val="13"/>
                <c:pt idx="0">
                  <c:v>Total Rent</c:v>
                </c:pt>
                <c:pt idx="1">
                  <c:v>Total Education</c:v>
                </c:pt>
                <c:pt idx="2">
                  <c:v>Total Shopping</c:v>
                </c:pt>
                <c:pt idx="3">
                  <c:v>Total Personal Care</c:v>
                </c:pt>
                <c:pt idx="4">
                  <c:v>Total Health &amp; Fitness</c:v>
                </c:pt>
                <c:pt idx="5">
                  <c:v>Total Dog</c:v>
                </c:pt>
                <c:pt idx="6">
                  <c:v>Total Food &amp; Dining</c:v>
                </c:pt>
                <c:pt idx="7">
                  <c:v>Total Gifts &amp; Donations</c:v>
                </c:pt>
                <c:pt idx="8">
                  <c:v>Total Investments</c:v>
                </c:pt>
                <c:pt idx="9">
                  <c:v>Total Bills &amp; Utilities</c:v>
                </c:pt>
                <c:pt idx="10">
                  <c:v>Alcohol</c:v>
                </c:pt>
                <c:pt idx="11">
                  <c:v>Total Travel</c:v>
                </c:pt>
                <c:pt idx="12">
                  <c:v>Total Fees &amp; Charges</c:v>
                </c:pt>
              </c:strCache>
            </c:strRef>
          </c:cat>
          <c:val>
            <c:numRef>
              <c:f>'Budget Summary'!$D$15:$D$27</c:f>
              <c:numCache>
                <c:formatCode>_("$"* #,##0.00_);_("$"* \(#,##0.00\);_("$"* "-"??_);_(@_)</c:formatCode>
                <c:ptCount val="13"/>
                <c:pt idx="0">
                  <c:v>2250</c:v>
                </c:pt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5">
                  <c:v>0</c:v>
                </c:pt>
                <c:pt idx="6">
                  <c:v>800</c:v>
                </c:pt>
                <c:pt idx="7">
                  <c:v>0</c:v>
                </c:pt>
                <c:pt idx="8">
                  <c:v>1000</c:v>
                </c:pt>
                <c:pt idx="9">
                  <c:v>40</c:v>
                </c:pt>
                <c:pt idx="10">
                  <c:v>300</c:v>
                </c:pt>
                <c:pt idx="11">
                  <c:v>200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A-4093-8163-890F80AEE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9338560"/>
        <c:axId val="1019340224"/>
      </c:barChart>
      <c:catAx>
        <c:axId val="1019338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340224"/>
        <c:crosses val="autoZero"/>
        <c:auto val="1"/>
        <c:lblAlgn val="ctr"/>
        <c:lblOffset val="100"/>
        <c:noMultiLvlLbl val="0"/>
      </c:catAx>
      <c:valAx>
        <c:axId val="101934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33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218739</xdr:colOff>
      <xdr:row>4</xdr:row>
      <xdr:rowOff>125843</xdr:rowOff>
    </xdr:from>
    <xdr:to>
      <xdr:col>21</xdr:col>
      <xdr:colOff>98612</xdr:colOff>
      <xdr:row>11</xdr:row>
      <xdr:rowOff>147358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1F270E4-E72F-47C2-809C-B47D31DE7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29583</xdr:colOff>
      <xdr:row>12</xdr:row>
      <xdr:rowOff>56925</xdr:rowOff>
    </xdr:from>
    <xdr:to>
      <xdr:col>20</xdr:col>
      <xdr:colOff>283957</xdr:colOff>
      <xdr:row>28</xdr:row>
      <xdr:rowOff>268941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23E430-5F95-4FF9-B4A0-B6DA041D5C53}"/>
            </a:ext>
            <a:ext uri="{147F2762-F138-4A5C-976F-8EAC2B608ADB}">
              <a16:predDERef xmlns:a16="http://schemas.microsoft.com/office/drawing/2014/main" pred="{6C368837-70F9-46AA-99D8-2F919D9A5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come" displayName="Income" ref="B5:F11" totalsRowCount="1" headerRowDxfId="218" totalsRowDxfId="217" headerRowCellStyle="Heading 1" dataCellStyle="Normal" totalsRowCellStyle="Normal">
  <autoFilter ref="B5:F10" xr:uid="{00000000-0009-0000-0100-000003000000}"/>
  <tableColumns count="5">
    <tableColumn id="1" xr3:uid="{00000000-0010-0000-0200-000001000000}" name="INCOME" totalsRowLabel="Total Income" totalsRowDxfId="216" dataCellStyle="Input"/>
    <tableColumn id="2" xr3:uid="{00000000-0010-0000-0200-000002000000}" name="ESTIMATED" totalsRowFunction="sum" totalsRowDxfId="215" dataCellStyle="Currency"/>
    <tableColumn id="3" xr3:uid="{00000000-0010-0000-0200-000003000000}" name="ACTUAL" totalsRowFunction="sum" totalsRowDxfId="214" dataCellStyle="Currency"/>
    <tableColumn id="5" xr3:uid="{00000000-0010-0000-0200-000005000000}" name="TOP 5 AMOUNT" totalsRowDxfId="213" dataCellStyle="Currency">
      <calculatedColumnFormula>Income[[#This Row],[ACTUAL]]+(10^-6)*ROW(Income[[#This Row],[ACTUAL]])</calculatedColumnFormula>
    </tableColumn>
    <tableColumn id="4" xr3:uid="{00000000-0010-0000-0200-000004000000}" name="DIFFERENCE" totalsRowFunction="sum" totalsRowDxfId="212" dataCellStyle="Currency">
      <calculatedColumnFormula>Income[[#This Row],[ACTUAL]]-Income[[#This Row],[ESTIMATED]]</calculatedColumnFormula>
    </tableColumn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AB12F71-65DB-4AC4-AFB0-4FCC2BFDFB84}" name="Expenses816171820" displayName="Expenses816171820" ref="B73:F79" totalsRowCount="1" headerRowDxfId="103" totalsRowDxfId="102" dataCellStyle="Normal" totalsRowCellStyle="Normal">
  <autoFilter ref="B73:F78" xr:uid="{4AB12F71-65DB-4AC4-AFB0-4FCC2BFDFB84}"/>
  <sortState xmlns:xlrd2="http://schemas.microsoft.com/office/spreadsheetml/2017/richdata2" ref="B74:F79">
    <sortCondition ref="B11:B22"/>
  </sortState>
  <tableColumns count="5">
    <tableColumn id="1" xr3:uid="{FC963430-3F3A-4A1B-B9DD-9874257C939E}" name="EXPENSES" totalsRowFunction="custom" dataDxfId="101" totalsRowDxfId="100" dataCellStyle="Input">
      <totalsRowFormula>CONCATENATE("Total ",B72)</totalsRowFormula>
    </tableColumn>
    <tableColumn id="6" xr3:uid="{B8147CA4-0173-4C2A-B5B3-3A50811805CC}" name="Category" totalsRowLabel="-" dataDxfId="99" totalsRowDxfId="98" dataCellStyle="Input"/>
    <tableColumn id="2" xr3:uid="{9E2353EF-921B-407B-A2DC-A501A15EE8DD}" name="ESTIMATED" totalsRowFunction="sum" dataDxfId="97" totalsRowDxfId="96" dataCellStyle="Currency"/>
    <tableColumn id="3" xr3:uid="{2C64FE19-4D35-43AB-A421-6CD33DF7BC81}" name="ACTUAL" totalsRowFunction="sum" dataDxfId="95" totalsRowDxfId="94" dataCellStyle="Currency"/>
    <tableColumn id="4" xr3:uid="{B733CFAA-0DF3-4CD6-A734-D724D098409E}" name="DIFFERENCE" totalsRowFunction="sum" dataDxfId="93" totalsRowDxfId="92" dataCellStyle="Currency">
      <calculatedColumnFormula>Expenses816171820[[#This Row],[ESTIMATED]]-Expenses816171820[[#This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1930E5-8606-45B0-B689-0D5576BD773A}" name="Expenses81617182021" displayName="Expenses81617182021" ref="B82:F88" totalsRowCount="1" headerRowDxfId="91" totalsRowDxfId="90" dataCellStyle="Normal" totalsRowCellStyle="Normal">
  <autoFilter ref="B82:F87" xr:uid="{161930E5-8606-45B0-B689-0D5576BD773A}"/>
  <sortState xmlns:xlrd2="http://schemas.microsoft.com/office/spreadsheetml/2017/richdata2" ref="B83:F88">
    <sortCondition ref="B11:B22"/>
  </sortState>
  <tableColumns count="5">
    <tableColumn id="1" xr3:uid="{FEF6A5E3-A880-451D-99D8-24809077E06A}" name="EXPENSES" totalsRowFunction="custom" dataDxfId="89" totalsRowDxfId="88" dataCellStyle="Input">
      <totalsRowFormula>CONCATENATE("Total ",B81)</totalsRowFormula>
    </tableColumn>
    <tableColumn id="6" xr3:uid="{71D6DF70-FC81-451E-ABC3-5DCDF791292B}" name="Category" totalsRowLabel="-" dataDxfId="87" totalsRowDxfId="86" dataCellStyle="Input"/>
    <tableColumn id="2" xr3:uid="{F946434F-5E17-42AE-B426-D30747C7B9FD}" name="ESTIMATED" totalsRowFunction="sum" dataDxfId="85" totalsRowDxfId="84" dataCellStyle="Currency"/>
    <tableColumn id="3" xr3:uid="{EAB5BE48-48F2-4542-8508-2CDFCB1A0DEC}" name="ACTUAL" totalsRowFunction="sum" dataDxfId="83" totalsRowDxfId="82" dataCellStyle="Currency"/>
    <tableColumn id="4" xr3:uid="{246526F5-0691-4487-BF02-3137A1637B95}" name="DIFFERENCE" totalsRowFunction="sum" dataDxfId="81" totalsRowDxfId="80" dataCellStyle="Currency">
      <calculatedColumnFormula>Expenses81617182021[[#This Row],[ESTIMATED]]-Expenses81617182021[[#This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F5F9106-2061-4243-BCB4-15526AE035F7}" name="Expenses8161718202122" displayName="Expenses8161718202122" ref="B91:F97" totalsRowCount="1" headerRowDxfId="79" totalsRowDxfId="78" dataCellStyle="Normal" totalsRowCellStyle="Normal">
  <autoFilter ref="B91:F96" xr:uid="{6F5F9106-2061-4243-BCB4-15526AE035F7}"/>
  <sortState xmlns:xlrd2="http://schemas.microsoft.com/office/spreadsheetml/2017/richdata2" ref="B92:F97">
    <sortCondition ref="B11:B22"/>
  </sortState>
  <tableColumns count="5">
    <tableColumn id="1" xr3:uid="{0D5480E2-5F6F-4FB9-BDD6-B9DDF40F5F63}" name="EXPENSES" totalsRowFunction="custom" dataDxfId="77" totalsRowDxfId="76" dataCellStyle="Input">
      <totalsRowFormula>CONCATENATE("Total ",B90)</totalsRowFormula>
    </tableColumn>
    <tableColumn id="6" xr3:uid="{9FF2AB29-EA15-4226-AFB7-62986866FECA}" name="Category" totalsRowLabel="-" dataDxfId="75" totalsRowDxfId="74" dataCellStyle="Input"/>
    <tableColumn id="2" xr3:uid="{7C4BD184-4391-40CE-9881-AE2F43BD9615}" name="ESTIMATED" totalsRowFunction="sum" dataDxfId="73" totalsRowDxfId="72" dataCellStyle="Currency"/>
    <tableColumn id="3" xr3:uid="{F1F7C552-2A94-4C9E-B0D8-553E6528D3D3}" name="ACTUAL" totalsRowFunction="sum" dataDxfId="71" totalsRowDxfId="70" dataCellStyle="Currency"/>
    <tableColumn id="4" xr3:uid="{23650621-EFBF-4C76-840A-480B94D08B2B}" name="DIFFERENCE" totalsRowFunction="sum" dataDxfId="69" totalsRowDxfId="68" dataCellStyle="Currency">
      <calculatedColumnFormula>Expenses8161718202122[[#This Row],[ESTIMATED]]-Expenses8161718202122[[#This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57E2B7E-6804-411A-81F9-57976A6C4444}" name="Expenses816171820212223" displayName="Expenses816171820212223" ref="B100:F105" totalsRowCount="1" headerRowDxfId="67" totalsRowDxfId="66" dataCellStyle="Normal" totalsRowCellStyle="Normal">
  <autoFilter ref="B100:F104" xr:uid="{257E2B7E-6804-411A-81F9-57976A6C4444}"/>
  <sortState xmlns:xlrd2="http://schemas.microsoft.com/office/spreadsheetml/2017/richdata2" ref="B101:F105">
    <sortCondition ref="B11:B22"/>
  </sortState>
  <tableColumns count="5">
    <tableColumn id="1" xr3:uid="{338F1AA9-E8AD-42C7-8601-364F7E7723B7}" name="EXPENSES" totalsRowFunction="custom" dataDxfId="65" totalsRowDxfId="64" dataCellStyle="Input">
      <totalsRowFormula>CONCATENATE("Total ",B99)</totalsRowFormula>
    </tableColumn>
    <tableColumn id="6" xr3:uid="{93B1F1B6-9F7E-48D0-96B3-22D21B18799C}" name="Category" totalsRowLabel="-" dataDxfId="63" totalsRowDxfId="62" dataCellStyle="Input"/>
    <tableColumn id="2" xr3:uid="{6733688F-8EAC-45D5-88FA-3FFD54704A61}" name="ESTIMATED" totalsRowFunction="sum" dataDxfId="61" totalsRowDxfId="60" dataCellStyle="Currency"/>
    <tableColumn id="3" xr3:uid="{CD97832A-5157-4C6F-A048-149058A00129}" name="ACTUAL" totalsRowFunction="sum" dataDxfId="59" totalsRowDxfId="58" dataCellStyle="Currency"/>
    <tableColumn id="4" xr3:uid="{7427D5F7-C4F7-4D80-B885-E089E7CF7B56}" name="DIFFERENCE" totalsRowFunction="sum" dataDxfId="57" totalsRowDxfId="56" dataCellStyle="Currency">
      <calculatedColumnFormula>Expenses816171820212223[[#This Row],[ESTIMATED]]-Expenses816171820212223[[#This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5A61E1B-D773-48CF-B360-1FAC9FCAB064}" name="Expenses81617182021222324" displayName="Expenses81617182021222324" ref="B108:F115" totalsRowCount="1" headerRowDxfId="55" totalsRowDxfId="54" dataCellStyle="Normal" totalsRowCellStyle="Normal">
  <autoFilter ref="B108:F114" xr:uid="{35A61E1B-D773-48CF-B360-1FAC9FCAB064}"/>
  <sortState xmlns:xlrd2="http://schemas.microsoft.com/office/spreadsheetml/2017/richdata2" ref="B109:F115">
    <sortCondition ref="B11:B22"/>
  </sortState>
  <tableColumns count="5">
    <tableColumn id="1" xr3:uid="{E2107EB4-3BF8-4D3B-939F-942FD88122A2}" name="EXPENSES" totalsRowFunction="custom" dataDxfId="53" totalsRowDxfId="52" dataCellStyle="Input">
      <totalsRowFormula>CONCATENATE("Total ",B107)</totalsRowFormula>
    </tableColumn>
    <tableColumn id="6" xr3:uid="{412546AF-38DC-4BFF-B3F1-EDE2854C8908}" name="Category" totalsRowLabel="-" dataDxfId="51" totalsRowDxfId="50" dataCellStyle="Input"/>
    <tableColumn id="2" xr3:uid="{667E81CC-6F27-4CF8-AE79-D514A6817E17}" name="ESTIMATED" totalsRowFunction="sum" dataDxfId="49" totalsRowDxfId="48" dataCellStyle="Currency"/>
    <tableColumn id="3" xr3:uid="{20DB5576-625F-4D9D-BBD5-5D7D56BA8C28}" name="ACTUAL" totalsRowFunction="sum" dataDxfId="47" totalsRowDxfId="46" dataCellStyle="Currency"/>
    <tableColumn id="4" xr3:uid="{42BF163E-6504-4560-8A60-EBB428D510D1}" name="DIFFERENCE" totalsRowFunction="sum" dataDxfId="45" totalsRowDxfId="44" dataCellStyle="Currency">
      <calculatedColumnFormula>Expenses81617182021222324[[#This Row],[ESTIMATED]]-Expenses81617182021222324[[#This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2EBF2D8-570C-4363-81B6-36C2257D3154}" name="Table5" displayName="Table5" ref="A2:C80" totalsRowShown="0" headerRowDxfId="43" dataDxfId="42">
  <autoFilter ref="A2:C80" xr:uid="{12EBF2D8-570C-4363-81B6-36C2257D3154}"/>
  <tableColumns count="3">
    <tableColumn id="1" xr3:uid="{39C924C7-C8BF-4FEA-81FD-C19D2CC62229}" name="Parent" dataDxfId="41"/>
    <tableColumn id="2" xr3:uid="{B552E78D-22CE-4F70-BEA5-B2F64FDB2C01}" name="Item" dataDxfId="40"/>
    <tableColumn id="3" xr3:uid="{9C42997B-6B78-4AAD-B2E3-F055AD05C1E6}" name="Income / Expense" dataDxfId="39"/>
  </tableColumns>
  <tableStyleInfo name="TableStyleLight13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AA8B5-B642-44B0-8FF6-B12CE9F901F6}" name="Table2" displayName="Table2" ref="B6:F9" totalsRowCount="1" headerRowDxfId="16" dataDxfId="15" totalsRowDxfId="14" headerRowCellStyle="Heading 1">
  <autoFilter ref="B6:F8" xr:uid="{47B637C1-818B-4BED-881E-062FC4FD7398}"/>
  <tableColumns count="5">
    <tableColumn id="1" xr3:uid="{1F3E0BC5-EBB5-4EC3-A58F-4EC1C5D18EDD}" name="BUDGET TOTALS" totalsRowLabel="Balance (Income - Expenses)" totalsRowDxfId="13" dataCellStyle="Input"/>
    <tableColumn id="2" xr3:uid="{97762248-6052-4C5E-B7CD-C84E3157FFDA}" name="ESTIMATED" totalsRowFunction="custom" totalsRowDxfId="12" dataCellStyle="Currency" totalsRowCellStyle="Currency">
      <totalsRowFormula>C7-C8</totalsRowFormula>
    </tableColumn>
    <tableColumn id="3" xr3:uid="{4B6AA04A-DDC8-43A6-A51B-A82E80AD793F}" name="ACTUAL" totalsRowFunction="custom" totalsRowDxfId="11" dataCellStyle="Currency" totalsRowCellStyle="Currency">
      <totalsRowFormula>D7-D8</totalsRowFormula>
    </tableColumn>
    <tableColumn id="4" xr3:uid="{421FA974-B591-456B-8462-4F763A15D3C5}" name="DIFFERENCE" totalsRowFunction="sum" dataDxfId="10" totalsRowDxfId="9" dataCellStyle="Currency" totalsRowCellStyle="Currency">
      <calculatedColumnFormula>Table2[[#This Row],[ACTUAL]]-Table2[[#This Row],[ESTIMATED]]</calculatedColumnFormula>
    </tableColumn>
    <tableColumn id="5" xr3:uid="{FEC26463-7C51-41D7-BED2-652EA6CA6A14}" name="% DIFFERENCE" totalsRowFunction="custom" dataDxfId="8" totalsRowDxfId="7" dataCellStyle="Percent" totalsRowCellStyle="Percent">
      <calculatedColumnFormula>Table2[[#This Row],[ACTUAL]]/Table2[[#This Row],[ESTIMATED]]-1</calculatedColumnFormula>
      <totalsRowFormula>Table2[[#Totals],[ACTUAL]]/Table2[[#Totals],[ESTIMATED]]-1</totalsRowFormula>
    </tableColumn>
  </tableColumns>
  <tableStyleInfo name="TableStyleLight13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4687831-987E-42B2-BD52-98438D3235E9}" name="Table813" displayName="Table813" ref="B14:F28" totalsRowShown="0" headerRowDxfId="6" tableBorderDxfId="5">
  <autoFilter ref="B14:F28" xr:uid="{48D736D2-409F-4CCC-9229-BC8BBB0F6627}"/>
  <tableColumns count="5">
    <tableColumn id="1" xr3:uid="{5BB30AE3-01B6-45EC-B5D1-77EB9F47AEF6}" name="EXPENSE CATEGORIES" dataDxfId="4"/>
    <tableColumn id="2" xr3:uid="{816B5BF8-0B90-41E0-AC96-F507C0A2220B}" name="ESTIMATED" dataDxfId="3" dataCellStyle="Currency"/>
    <tableColumn id="3" xr3:uid="{02DFC22E-DFD1-46DF-A607-21FE7987E801}" name="ACTUAL" dataDxfId="2" dataCellStyle="Currency"/>
    <tableColumn id="4" xr3:uid="{6FCECB5A-A738-4A0D-A483-10280AB7CA05}" name="DIFFERENCE" dataDxfId="1" dataCellStyle="Currency"/>
    <tableColumn id="5" xr3:uid="{7D98620E-E62D-4363-B129-291A53354158}" name="Status" dataDxfId="0" dataCellStyle="Currency">
      <calculatedColumnFormula>IF(Table813[[#This Row],[DIFFERENCE]]&lt;0,"You are under budget!","You are over budget.")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BABFDC5-202A-4F08-91BC-2E52751C2342}" name="Expenses" displayName="Expenses" ref="A6:E11" totalsRowCount="1" headerRowDxfId="198" totalsRowDxfId="197" dataCellStyle="Normal" totalsRowCellStyle="Normal">
  <autoFilter ref="A6:E10" xr:uid="{BBABFDC5-202A-4F08-91BC-2E52751C2342}"/>
  <sortState xmlns:xlrd2="http://schemas.microsoft.com/office/spreadsheetml/2017/richdata2" ref="A7:E11">
    <sortCondition ref="A11:A23"/>
  </sortState>
  <tableColumns count="5">
    <tableColumn id="1" xr3:uid="{3229A458-DA94-4802-8158-10D74AF64B46}" name="EXPENSES" totalsRowFunction="custom" dataDxfId="196" totalsRowDxfId="195" dataCellStyle="Input">
      <totalsRowFormula>CONCATENATE("Total ",A5)</totalsRowFormula>
    </tableColumn>
    <tableColumn id="6" xr3:uid="{4E106D1A-4146-43AC-8348-BF670F9A52D6}" name="Housing" totalsRowLabel="-" dataDxfId="194" totalsRowDxfId="193" dataCellStyle="Input"/>
    <tableColumn id="2" xr3:uid="{E26BA57D-AE01-4FAF-8C2D-BA16C0B8E9D7}" name="Column1" totalsRowFunction="sum" totalsRowDxfId="192" dataCellStyle="Currency"/>
    <tableColumn id="3" xr3:uid="{11B20681-FCCA-4779-8A03-9FACBC9194A4}" name="ACTUAL" totalsRowFunction="sum" totalsRowDxfId="191" dataCellStyle="Currency"/>
    <tableColumn id="4" xr3:uid="{B9A96C46-FA39-4D13-835A-7DF78FD6B32E}" name="DIFFERENCE" totalsRowFunction="sum" totalsRowDxfId="190" dataCellStyle="Currency">
      <calculatedColumnFormula>Expenses[[#This Row],[Column1]]-Expenses[[#This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A11D61B-7892-4F1B-A8FE-EB81B22B888E}" name="Expenses8" displayName="Expenses8" ref="B14:F18" totalsRowCount="1" headerRowDxfId="189" totalsRowDxfId="188" dataCellStyle="Normal" totalsRowCellStyle="Normal">
  <autoFilter ref="B14:F17" xr:uid="{8A11D61B-7892-4F1B-A8FE-EB81B22B888E}"/>
  <sortState xmlns:xlrd2="http://schemas.microsoft.com/office/spreadsheetml/2017/richdata2" ref="B15:F18">
    <sortCondition ref="B11:B22"/>
  </sortState>
  <tableColumns count="5">
    <tableColumn id="1" xr3:uid="{8E491F9B-228F-4742-9613-8F5AFE886FA7}" name="EXPENSES" totalsRowFunction="custom" dataDxfId="187" totalsRowDxfId="186" dataCellStyle="Input">
      <totalsRowFormula>CONCATENATE("Total ",B13)</totalsRowFormula>
    </tableColumn>
    <tableColumn id="6" xr3:uid="{778C2C2D-4033-4F8F-8E82-FC1CF7393127}" name="Category" totalsRowLabel="-" dataDxfId="185" totalsRowDxfId="184" dataCellStyle="Input"/>
    <tableColumn id="2" xr3:uid="{93EE077D-ED73-4270-9858-DC1A7192F712}" name="ESTIMATED" totalsRowFunction="sum" dataDxfId="183" totalsRowDxfId="182" dataCellStyle="Currency"/>
    <tableColumn id="3" xr3:uid="{355C9BEB-9B5A-4F74-B08F-853DBD0FE2CE}" name="ACTUAL" totalsRowFunction="sum" dataDxfId="181" totalsRowDxfId="180" dataCellStyle="Currency"/>
    <tableColumn id="4" xr3:uid="{B0E857FF-4DD3-4628-9E57-8089758BA880}" name="DIFFERENCE" totalsRowFunction="sum" dataDxfId="179" totalsRowDxfId="178" dataCellStyle="Currency">
      <calculatedColumnFormula>Expenses8[[#This Row],[ESTIMATED]]-Expenses8[[#This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4F3C56A-80C4-4DA2-A67A-701CC7D7BC5D}" name="Expenses814" displayName="Expenses814" ref="B21:F27" totalsRowCount="1" headerRowDxfId="177" dataDxfId="176" totalsRowDxfId="175" dataCellStyle="Normal" totalsRowCellStyle="Normal">
  <autoFilter ref="B21:F26" xr:uid="{54F3C56A-80C4-4DA2-A67A-701CC7D7BC5D}"/>
  <sortState xmlns:xlrd2="http://schemas.microsoft.com/office/spreadsheetml/2017/richdata2" ref="B22:F27">
    <sortCondition ref="B11:B22"/>
  </sortState>
  <tableColumns count="5">
    <tableColumn id="1" xr3:uid="{7A82C50C-B695-4BE3-BB2F-DB28B81A12CC}" name="EXPENSES" totalsRowFunction="custom" dataDxfId="174" totalsRowDxfId="173" dataCellStyle="Input">
      <totalsRowFormula>CONCATENATE("Total ",B20)</totalsRowFormula>
    </tableColumn>
    <tableColumn id="6" xr3:uid="{24D33BAF-2B2B-4B6D-B95D-F241B0B82B0C}" name="Category" totalsRowLabel="-" dataDxfId="172" totalsRowDxfId="171" dataCellStyle="Input"/>
    <tableColumn id="2" xr3:uid="{A070319B-CB7E-4FA9-8A07-C369C5B67F7B}" name="ESTIMATED" totalsRowFunction="sum" dataDxfId="170" totalsRowDxfId="169" dataCellStyle="Currency"/>
    <tableColumn id="3" xr3:uid="{EE381EAA-3A93-471B-9511-4082F005C768}" name="ACTUAL" totalsRowFunction="sum" dataDxfId="168" totalsRowDxfId="167" dataCellStyle="Currency"/>
    <tableColumn id="4" xr3:uid="{1F2591FA-6AA2-4256-8A54-C73E1CA06BA8}" name="DIFFERENCE" totalsRowFunction="sum" dataDxfId="166" totalsRowDxfId="165" dataCellStyle="Currency">
      <calculatedColumnFormula>Expenses814[[#This Row],[ESTIMATED]]-Expenses814[[#This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D141FEA-2F7A-47D0-89FC-42ECF8AB86CC}" name="Expenses81415" displayName="Expenses81415" ref="B30:F38" totalsRowCount="1" headerRowDxfId="164" dataDxfId="163" totalsRowDxfId="162" dataCellStyle="Normal" totalsRowCellStyle="Normal">
  <autoFilter ref="B30:F37" xr:uid="{CD141FEA-2F7A-47D0-89FC-42ECF8AB86CC}"/>
  <sortState xmlns:xlrd2="http://schemas.microsoft.com/office/spreadsheetml/2017/richdata2" ref="B31:F38">
    <sortCondition ref="B11:B22"/>
  </sortState>
  <tableColumns count="5">
    <tableColumn id="1" xr3:uid="{79FCE662-68AB-4C02-B7DD-63CB21F1A941}" name="EXPENSES" totalsRowFunction="custom" dataDxfId="161" totalsRowDxfId="160" dataCellStyle="Input">
      <totalsRowFormula>CONCATENATE("Total ",B29)</totalsRowFormula>
    </tableColumn>
    <tableColumn id="6" xr3:uid="{B446620E-4EFC-4744-BA20-9EF4471A6F69}" name="Category" totalsRowLabel="-" dataDxfId="159" totalsRowDxfId="158" dataCellStyle="Input"/>
    <tableColumn id="2" xr3:uid="{6D374563-5838-4341-AB5E-AD284515FB66}" name="ESTIMATED" totalsRowFunction="sum" dataDxfId="157" totalsRowDxfId="156" dataCellStyle="Currency"/>
    <tableColumn id="3" xr3:uid="{51B82082-8D16-4D25-B67B-631EE5074FAB}" name="ACTUAL" totalsRowFunction="sum" dataDxfId="155" totalsRowDxfId="154" dataCellStyle="Currency"/>
    <tableColumn id="4" xr3:uid="{5DD8BDAC-378A-48BB-8CAA-3FC876EDD8B7}" name="DIFFERENCE" totalsRowFunction="sum" dataDxfId="153" totalsRowDxfId="152" dataCellStyle="Currency">
      <calculatedColumnFormula>Expenses81415[[#This Row],[ESTIMATED]]-Expenses81415[[#This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402F8DC-73A3-4AFE-AC6B-032164BEF9CB}" name="Expenses816" displayName="Expenses816" ref="B41:F45" totalsRowCount="1" headerRowDxfId="151" totalsRowDxfId="150" dataCellStyle="Normal" totalsRowCellStyle="Normal">
  <autoFilter ref="B41:F44" xr:uid="{4402F8DC-73A3-4AFE-AC6B-032164BEF9CB}"/>
  <sortState xmlns:xlrd2="http://schemas.microsoft.com/office/spreadsheetml/2017/richdata2" ref="B42:F45">
    <sortCondition ref="B11:B22"/>
  </sortState>
  <tableColumns count="5">
    <tableColumn id="1" xr3:uid="{39279FCA-F864-403A-923C-3C95095B3A93}" name="EXPENSES" totalsRowFunction="custom" dataDxfId="149" totalsRowDxfId="148" dataCellStyle="Input">
      <totalsRowFormula>CONCATENATE("Total ",B40)</totalsRowFormula>
    </tableColumn>
    <tableColumn id="6" xr3:uid="{2A23ED75-A739-4E94-8776-12BEEDC37187}" name="Category" totalsRowLabel="-" dataDxfId="147" totalsRowDxfId="146" dataCellStyle="Input"/>
    <tableColumn id="2" xr3:uid="{3832DB6C-6E4B-45B5-B5BD-7662C378D5BF}" name="ESTIMATED" totalsRowFunction="sum" dataDxfId="145" totalsRowDxfId="144" dataCellStyle="Currency"/>
    <tableColumn id="3" xr3:uid="{7762B310-3BC0-4093-918F-6573C61EB6A8}" name="ACTUAL" totalsRowFunction="sum" dataDxfId="143" totalsRowDxfId="142" dataCellStyle="Currency"/>
    <tableColumn id="4" xr3:uid="{410F9000-8120-4C9F-A2FC-35BB86C8F88A}" name="DIFFERENCE" totalsRowFunction="sum" dataDxfId="141" totalsRowDxfId="140" dataCellStyle="Currency">
      <calculatedColumnFormula>Expenses816[[#This Row],[ESTIMATED]]-Expenses816[[#This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0B63AA2-EDD8-481E-A16C-AB2B3E00FDFC}" name="Expenses81617" displayName="Expenses81617" ref="B48:F55" totalsRowCount="1" headerRowDxfId="139" totalsRowDxfId="138" dataCellStyle="Normal" totalsRowCellStyle="Normal">
  <autoFilter ref="B48:F54" xr:uid="{50B63AA2-EDD8-481E-A16C-AB2B3E00FDFC}"/>
  <sortState xmlns:xlrd2="http://schemas.microsoft.com/office/spreadsheetml/2017/richdata2" ref="B49:F55">
    <sortCondition ref="B11:B22"/>
  </sortState>
  <tableColumns count="5">
    <tableColumn id="1" xr3:uid="{C9EE4582-9F6F-49D5-A216-BB0A80573BE3}" name="EXPENSES" totalsRowFunction="custom" dataDxfId="137" totalsRowDxfId="136" dataCellStyle="Input">
      <totalsRowFormula>CONCATENATE("Total ",B47)</totalsRowFormula>
    </tableColumn>
    <tableColumn id="6" xr3:uid="{CE1536A8-88F8-4D93-8E7F-7E29A808176D}" name="Category" totalsRowLabel="-" dataDxfId="135" totalsRowDxfId="134" dataCellStyle="Input"/>
    <tableColumn id="2" xr3:uid="{42158A41-0FE6-4F64-AE08-B4D045CD82E7}" name="ESTIMATED" totalsRowFunction="sum" dataDxfId="133" totalsRowDxfId="132" dataCellStyle="Currency"/>
    <tableColumn id="3" xr3:uid="{B7186EE5-0EC5-4238-9EAA-470FAE693013}" name="ACTUAL" totalsRowFunction="sum" dataDxfId="131" totalsRowDxfId="130" dataCellStyle="Currency"/>
    <tableColumn id="4" xr3:uid="{3366AB58-50E3-4F88-B03D-A06B290C28E8}" name="DIFFERENCE" totalsRowFunction="sum" dataDxfId="129" totalsRowDxfId="128" dataCellStyle="Currency">
      <calculatedColumnFormula>Expenses81617[[#This Row],[ESTIMATED]]-Expenses81617[[#This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72242AD-6825-4733-8611-45095E7AB1AC}" name="Expenses8161718" displayName="Expenses8161718" ref="B58:F64" totalsRowCount="1" headerRowDxfId="127" totalsRowDxfId="126" dataCellStyle="Normal" totalsRowCellStyle="Normal">
  <autoFilter ref="B58:F63" xr:uid="{D72242AD-6825-4733-8611-45095E7AB1AC}"/>
  <sortState xmlns:xlrd2="http://schemas.microsoft.com/office/spreadsheetml/2017/richdata2" ref="B59:F64">
    <sortCondition ref="B11:B22"/>
  </sortState>
  <tableColumns count="5">
    <tableColumn id="1" xr3:uid="{C9545615-DA2A-4FBE-A5A9-F28C3D460290}" name="EXPENSES" totalsRowFunction="custom" dataDxfId="125" totalsRowDxfId="124" dataCellStyle="Input">
      <totalsRowFormula>CONCATENATE("Total ",B57)</totalsRowFormula>
    </tableColumn>
    <tableColumn id="6" xr3:uid="{975068C3-E1D7-4098-A109-6025740EE28C}" name="Category" totalsRowLabel="-" dataDxfId="123" totalsRowDxfId="122" dataCellStyle="Input"/>
    <tableColumn id="2" xr3:uid="{AC8B034A-EA2C-497A-B83E-F75BB8251C01}" name="ESTIMATED" totalsRowFunction="sum" dataDxfId="121" totalsRowDxfId="120" dataCellStyle="Currency"/>
    <tableColumn id="3" xr3:uid="{3E2FEC71-CB3C-4051-B4FC-C0F6E1AA8129}" name="ACTUAL" totalsRowFunction="sum" dataDxfId="119" totalsRowDxfId="118" dataCellStyle="Currency"/>
    <tableColumn id="4" xr3:uid="{92FDFB84-21A7-4782-B6F3-B4AC7B4C3DA7}" name="DIFFERENCE" totalsRowFunction="sum" dataDxfId="117" totalsRowDxfId="116" dataCellStyle="Currency">
      <calculatedColumnFormula>Expenses8161718[[#This Row],[ESTIMATED]]-Expenses8161718[[#This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181F811-5F18-495B-8694-3A12C38C4D66}" name="Expenses816171819" displayName="Expenses816171819" ref="B67:F70" totalsRowCount="1" headerRowDxfId="115" totalsRowDxfId="114" dataCellStyle="Normal" totalsRowCellStyle="Normal">
  <autoFilter ref="B67:F69" xr:uid="{2181F811-5F18-495B-8694-3A12C38C4D66}"/>
  <sortState xmlns:xlrd2="http://schemas.microsoft.com/office/spreadsheetml/2017/richdata2" ref="B68:F70">
    <sortCondition ref="B11:B22"/>
  </sortState>
  <tableColumns count="5">
    <tableColumn id="1" xr3:uid="{DF38FED4-A51E-4C74-9AB5-C0C35F4C62DE}" name="EXPENSES" totalsRowFunction="custom" dataDxfId="113" totalsRowDxfId="112" dataCellStyle="Input">
      <totalsRowFormula>CONCATENATE("Total ",B66)</totalsRowFormula>
    </tableColumn>
    <tableColumn id="6" xr3:uid="{886871C0-8F34-4D44-B174-5205B93801E4}" name="Category" totalsRowLabel="-" dataDxfId="111" totalsRowDxfId="110" dataCellStyle="Input"/>
    <tableColumn id="2" xr3:uid="{DA7BED6F-4599-416A-9889-23821441140E}" name="ESTIMATED" totalsRowFunction="sum" dataDxfId="109" totalsRowDxfId="108" dataCellStyle="Currency"/>
    <tableColumn id="3" xr3:uid="{78021170-9F8D-4B53-90F6-1595790FE8BD}" name="ACTUAL" totalsRowFunction="sum" dataDxfId="107" totalsRowDxfId="106" dataCellStyle="Currency"/>
    <tableColumn id="4" xr3:uid="{E3FBF4D0-6CCD-4D57-833D-9EB9BE71C768}" name="DIFFERENCE" totalsRowFunction="sum" dataDxfId="105" totalsRowDxfId="104" dataCellStyle="Currency">
      <calculatedColumnFormula>Expenses816171819[[#This Row],[ESTIMATED]]-Expenses816171819[[#This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Custom 1">
      <a:dk1>
        <a:sysClr val="windowText" lastClr="000000"/>
      </a:dk1>
      <a:lt1>
        <a:sysClr val="window" lastClr="FFFFFF"/>
      </a:lt1>
      <a:dk2>
        <a:srgbClr val="C2C9D6"/>
      </a:dk2>
      <a:lt2>
        <a:srgbClr val="DBE3E9"/>
      </a:lt2>
      <a:accent1>
        <a:srgbClr val="A3978F"/>
      </a:accent1>
      <a:accent2>
        <a:srgbClr val="1B8381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C2C9D6"/>
      </a:hlink>
      <a:folHlink>
        <a:srgbClr val="C2C9D6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8F96A3"/>
    <pageSetUpPr autoPageBreaks="0" fitToPage="1"/>
  </sheetPr>
  <dimension ref="A1:S133"/>
  <sheetViews>
    <sheetView showGridLines="0" tabSelected="1" zoomScaleNormal="100" workbookViewId="0">
      <selection activeCell="D17" sqref="D17"/>
    </sheetView>
  </sheetViews>
  <sheetFormatPr defaultColWidth="9" defaultRowHeight="30" customHeight="1" x14ac:dyDescent="0.35"/>
  <cols>
    <col min="1" max="1" width="5.25" customWidth="1"/>
    <col min="2" max="2" width="32.625" customWidth="1"/>
    <col min="3" max="3" width="19" customWidth="1"/>
    <col min="4" max="4" width="18.75" customWidth="1"/>
    <col min="5" max="5" width="26" hidden="1" customWidth="1"/>
    <col min="6" max="6" width="36.125" customWidth="1"/>
    <col min="7" max="8" width="4.125" customWidth="1"/>
  </cols>
  <sheetData>
    <row r="1" spans="1:19" ht="31.5" customHeight="1" x14ac:dyDescent="0.5">
      <c r="B1" s="66" t="s">
        <v>0</v>
      </c>
      <c r="C1" s="66"/>
      <c r="D1" s="66"/>
      <c r="E1" s="13"/>
      <c r="F1" s="14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50.45" customHeight="1" x14ac:dyDescent="0.35">
      <c r="B2" s="67" t="s">
        <v>1</v>
      </c>
      <c r="C2" s="67"/>
      <c r="D2" s="67"/>
      <c r="E2" s="15"/>
      <c r="F2" s="14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25.5" customHeight="1" x14ac:dyDescent="0.35">
      <c r="B3" s="60" t="s">
        <v>2</v>
      </c>
      <c r="C3" s="65"/>
      <c r="D3" s="18"/>
      <c r="E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7.75" customHeight="1" x14ac:dyDescent="0.35">
      <c r="C4" s="18"/>
      <c r="D4" s="18"/>
      <c r="E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s="2" customFormat="1" ht="30" customHeight="1" x14ac:dyDescent="0.35">
      <c r="A5" s="7"/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6"/>
      <c r="H5" s="4"/>
      <c r="I5" s="4"/>
      <c r="J5"/>
      <c r="K5"/>
      <c r="L5"/>
      <c r="M5"/>
      <c r="N5"/>
      <c r="O5"/>
      <c r="P5"/>
      <c r="Q5"/>
      <c r="R5"/>
      <c r="S5"/>
    </row>
    <row r="6" spans="1:19" ht="30" customHeight="1" x14ac:dyDescent="0.35">
      <c r="A6" s="5"/>
      <c r="B6" s="22" t="s">
        <v>8</v>
      </c>
      <c r="C6" s="28">
        <v>9667.99</v>
      </c>
      <c r="D6" s="28">
        <v>9667.99</v>
      </c>
      <c r="E6" s="28">
        <f>Income[[#This Row],[ACTUAL]]+(10^-6)*ROW(Income[[#This Row],[ACTUAL]])</f>
        <v>9667.990006</v>
      </c>
      <c r="F6" s="28">
        <f>Income[[#This Row],[ACTUAL]]-Income[[#This Row],[ESTIMATED]]</f>
        <v>0</v>
      </c>
      <c r="G6" s="6"/>
      <c r="H6" s="4"/>
      <c r="I6" s="4"/>
    </row>
    <row r="7" spans="1:19" ht="30" customHeight="1" x14ac:dyDescent="0.35">
      <c r="A7" s="5"/>
      <c r="B7" s="22" t="s">
        <v>9</v>
      </c>
      <c r="C7" s="28">
        <v>0</v>
      </c>
      <c r="D7" s="28">
        <v>0</v>
      </c>
      <c r="E7" s="28">
        <f>Income[[#This Row],[ACTUAL]]+(10^-6)*ROW(Income[[#This Row],[ACTUAL]])</f>
        <v>6.9999999999999999E-6</v>
      </c>
      <c r="F7" s="28">
        <f>Income[[#This Row],[ACTUAL]]-Income[[#This Row],[ESTIMATED]]</f>
        <v>0</v>
      </c>
      <c r="G7" s="6"/>
      <c r="H7" s="4"/>
      <c r="I7" s="4"/>
    </row>
    <row r="8" spans="1:19" ht="30" customHeight="1" x14ac:dyDescent="0.35">
      <c r="A8" s="5"/>
      <c r="B8" s="22" t="s">
        <v>10</v>
      </c>
      <c r="C8" s="28">
        <v>0</v>
      </c>
      <c r="D8" s="28"/>
      <c r="E8" s="28">
        <f>Income[[#This Row],[ACTUAL]]+(10^-6)*ROW(Income[[#This Row],[ACTUAL]])</f>
        <v>7.9999999999999996E-6</v>
      </c>
      <c r="F8" s="28">
        <f>Income[[#This Row],[ACTUAL]]-Income[[#This Row],[ESTIMATED]]</f>
        <v>0</v>
      </c>
      <c r="G8" s="6"/>
      <c r="H8" s="4"/>
      <c r="I8" s="4"/>
    </row>
    <row r="9" spans="1:19" ht="30" customHeight="1" x14ac:dyDescent="0.35">
      <c r="A9" s="5"/>
      <c r="B9" s="22" t="s">
        <v>11</v>
      </c>
      <c r="C9" s="28">
        <v>0</v>
      </c>
      <c r="D9" s="28">
        <v>0</v>
      </c>
      <c r="E9" s="28">
        <f>Income[[#This Row],[ACTUAL]]+(10^-6)*ROW(Income[[#This Row],[ACTUAL]])</f>
        <v>9.0000000000000002E-6</v>
      </c>
      <c r="F9" s="28">
        <f>Income[[#This Row],[ACTUAL]]-Income[[#This Row],[ESTIMATED]]</f>
        <v>0</v>
      </c>
      <c r="G9" s="6"/>
      <c r="H9" s="4"/>
      <c r="I9" s="4"/>
    </row>
    <row r="10" spans="1:19" ht="30" customHeight="1" x14ac:dyDescent="0.35">
      <c r="A10" s="5"/>
      <c r="B10" s="22" t="s">
        <v>12</v>
      </c>
      <c r="C10" s="28"/>
      <c r="D10" s="28"/>
      <c r="E10" s="28">
        <f>Income[[#This Row],[ACTUAL]]+(10^-6)*ROW(Income[[#This Row],[ACTUAL]])</f>
        <v>9.9999999999999991E-6</v>
      </c>
      <c r="F10" s="28">
        <f>Income[[#This Row],[ACTUAL]]-Income[[#This Row],[ESTIMATED]]</f>
        <v>0</v>
      </c>
      <c r="G10" s="6"/>
      <c r="H10" s="4"/>
      <c r="I10" s="4"/>
    </row>
    <row r="11" spans="1:19" ht="30" customHeight="1" x14ac:dyDescent="0.35">
      <c r="A11" s="5"/>
      <c r="B11" s="25" t="s">
        <v>13</v>
      </c>
      <c r="C11" s="32">
        <f>SUBTOTAL(109,Income[ESTIMATED])</f>
        <v>9667.99</v>
      </c>
      <c r="D11" s="32">
        <f>SUBTOTAL(109,Income[ACTUAL])</f>
        <v>9667.99</v>
      </c>
      <c r="E11" s="32"/>
      <c r="F11" s="32">
        <f>SUBTOTAL(109,Income[DIFFERENCE])</f>
        <v>0</v>
      </c>
      <c r="G11" s="6"/>
      <c r="H11" s="4"/>
      <c r="I11" s="4"/>
    </row>
    <row r="12" spans="1:19" ht="30" customHeight="1" x14ac:dyDescent="0.35">
      <c r="A12" s="5"/>
      <c r="G12" s="6"/>
      <c r="H12" s="4"/>
      <c r="I12" s="4"/>
    </row>
    <row r="13" spans="1:19" ht="30" customHeight="1" x14ac:dyDescent="0.35">
      <c r="A13" s="5"/>
      <c r="G13" s="8"/>
      <c r="H13" s="4"/>
      <c r="I13" s="4"/>
    </row>
    <row r="14" spans="1:19" ht="30" customHeight="1" x14ac:dyDescent="0.35">
      <c r="A14" s="5"/>
      <c r="G14" s="5"/>
      <c r="H14" s="4"/>
      <c r="I14" s="4"/>
    </row>
    <row r="15" spans="1:19" ht="30" customHeight="1" x14ac:dyDescent="0.35">
      <c r="H15" s="10"/>
      <c r="I15" s="10"/>
    </row>
    <row r="16" spans="1:19" ht="30" customHeight="1" x14ac:dyDescent="0.35">
      <c r="H16" s="10"/>
      <c r="I16" s="10"/>
    </row>
    <row r="17" spans="8:9" ht="30" customHeight="1" x14ac:dyDescent="0.35">
      <c r="H17" s="10"/>
      <c r="I17" s="10"/>
    </row>
    <row r="18" spans="8:9" ht="30" customHeight="1" x14ac:dyDescent="0.35">
      <c r="H18" s="10"/>
      <c r="I18" s="10"/>
    </row>
    <row r="19" spans="8:9" ht="30" customHeight="1" x14ac:dyDescent="0.35">
      <c r="H19" s="10"/>
      <c r="I19" s="10"/>
    </row>
    <row r="20" spans="8:9" ht="30" customHeight="1" x14ac:dyDescent="0.35">
      <c r="H20" s="10"/>
      <c r="I20" s="10"/>
    </row>
    <row r="21" spans="8:9" ht="30" customHeight="1" x14ac:dyDescent="0.35">
      <c r="H21" s="10"/>
      <c r="I21" s="10"/>
    </row>
    <row r="22" spans="8:9" ht="30" customHeight="1" x14ac:dyDescent="0.35">
      <c r="H22" s="10"/>
      <c r="I22" s="10"/>
    </row>
    <row r="23" spans="8:9" ht="30" customHeight="1" x14ac:dyDescent="0.35">
      <c r="H23" s="10"/>
      <c r="I23" s="10"/>
    </row>
    <row r="24" spans="8:9" ht="30" customHeight="1" x14ac:dyDescent="0.35">
      <c r="H24" s="10"/>
      <c r="I24" s="10"/>
    </row>
    <row r="25" spans="8:9" ht="30" customHeight="1" x14ac:dyDescent="0.35">
      <c r="H25" s="10"/>
      <c r="I25" s="10"/>
    </row>
    <row r="26" spans="8:9" ht="30" customHeight="1" x14ac:dyDescent="0.35">
      <c r="H26" s="10"/>
      <c r="I26" s="10"/>
    </row>
    <row r="27" spans="8:9" ht="30" customHeight="1" x14ac:dyDescent="0.35">
      <c r="H27" s="10"/>
      <c r="I27" s="10"/>
    </row>
    <row r="28" spans="8:9" ht="30" customHeight="1" x14ac:dyDescent="0.35">
      <c r="H28" s="10"/>
      <c r="I28" s="10"/>
    </row>
    <row r="29" spans="8:9" ht="30" customHeight="1" x14ac:dyDescent="0.35">
      <c r="H29" s="10"/>
      <c r="I29" s="10"/>
    </row>
    <row r="30" spans="8:9" ht="30" customHeight="1" x14ac:dyDescent="0.35">
      <c r="H30" s="10"/>
      <c r="I30" s="10"/>
    </row>
    <row r="31" spans="8:9" ht="30" customHeight="1" x14ac:dyDescent="0.35">
      <c r="H31" s="10"/>
      <c r="I31" s="10"/>
    </row>
    <row r="32" spans="8:9" ht="30" customHeight="1" x14ac:dyDescent="0.35">
      <c r="H32" s="10"/>
      <c r="I32" s="10"/>
    </row>
    <row r="33" spans="8:9" ht="30" customHeight="1" x14ac:dyDescent="0.35">
      <c r="H33" s="10"/>
      <c r="I33" s="10"/>
    </row>
    <row r="34" spans="8:9" ht="30" customHeight="1" x14ac:dyDescent="0.35">
      <c r="H34" s="10"/>
      <c r="I34" s="10"/>
    </row>
    <row r="35" spans="8:9" ht="30" customHeight="1" x14ac:dyDescent="0.35">
      <c r="H35" s="10"/>
      <c r="I35" s="10"/>
    </row>
    <row r="36" spans="8:9" ht="30" customHeight="1" x14ac:dyDescent="0.35">
      <c r="H36" s="10"/>
      <c r="I36" s="10"/>
    </row>
    <row r="37" spans="8:9" ht="30" customHeight="1" x14ac:dyDescent="0.35">
      <c r="H37" s="10"/>
      <c r="I37" s="10"/>
    </row>
    <row r="38" spans="8:9" ht="30" customHeight="1" x14ac:dyDescent="0.35">
      <c r="H38" s="10"/>
      <c r="I38" s="10"/>
    </row>
    <row r="39" spans="8:9" ht="30" customHeight="1" x14ac:dyDescent="0.35">
      <c r="H39" s="10"/>
      <c r="I39" s="10"/>
    </row>
    <row r="40" spans="8:9" ht="30" customHeight="1" x14ac:dyDescent="0.35">
      <c r="H40" s="10"/>
      <c r="I40" s="10"/>
    </row>
    <row r="41" spans="8:9" ht="30" customHeight="1" x14ac:dyDescent="0.35">
      <c r="H41" s="10"/>
      <c r="I41" s="10"/>
    </row>
    <row r="42" spans="8:9" ht="30" customHeight="1" x14ac:dyDescent="0.35">
      <c r="H42" s="10"/>
      <c r="I42" s="10"/>
    </row>
    <row r="43" spans="8:9" ht="30" customHeight="1" x14ac:dyDescent="0.35">
      <c r="H43" s="10"/>
      <c r="I43" s="10"/>
    </row>
    <row r="44" spans="8:9" ht="30" customHeight="1" x14ac:dyDescent="0.35">
      <c r="H44" s="10"/>
      <c r="I44" s="10"/>
    </row>
    <row r="45" spans="8:9" ht="30" customHeight="1" x14ac:dyDescent="0.35">
      <c r="H45" s="10"/>
      <c r="I45" s="10"/>
    </row>
    <row r="46" spans="8:9" ht="30" customHeight="1" x14ac:dyDescent="0.35">
      <c r="H46" s="10"/>
      <c r="I46" s="10"/>
    </row>
    <row r="47" spans="8:9" ht="30" customHeight="1" x14ac:dyDescent="0.35">
      <c r="H47" s="10"/>
      <c r="I47" s="10"/>
    </row>
    <row r="48" spans="8:9" ht="30" customHeight="1" x14ac:dyDescent="0.35">
      <c r="H48" s="10"/>
      <c r="I48" s="10"/>
    </row>
    <row r="49" spans="8:9" ht="30" customHeight="1" x14ac:dyDescent="0.35">
      <c r="H49" s="10"/>
      <c r="I49" s="10"/>
    </row>
    <row r="50" spans="8:9" ht="30" customHeight="1" x14ac:dyDescent="0.35">
      <c r="H50" s="10"/>
      <c r="I50" s="10"/>
    </row>
    <row r="51" spans="8:9" ht="30" customHeight="1" x14ac:dyDescent="0.35">
      <c r="H51" s="10"/>
      <c r="I51" s="10"/>
    </row>
    <row r="52" spans="8:9" ht="30" customHeight="1" x14ac:dyDescent="0.35">
      <c r="H52" s="10"/>
      <c r="I52" s="10"/>
    </row>
    <row r="53" spans="8:9" ht="30" customHeight="1" x14ac:dyDescent="0.35">
      <c r="H53" s="10"/>
      <c r="I53" s="10"/>
    </row>
    <row r="54" spans="8:9" ht="30" customHeight="1" x14ac:dyDescent="0.35">
      <c r="H54" s="10"/>
      <c r="I54" s="10"/>
    </row>
    <row r="55" spans="8:9" ht="30" customHeight="1" x14ac:dyDescent="0.35">
      <c r="H55" s="10"/>
      <c r="I55" s="10"/>
    </row>
    <row r="56" spans="8:9" ht="30" customHeight="1" x14ac:dyDescent="0.35">
      <c r="H56" s="10"/>
      <c r="I56" s="10"/>
    </row>
    <row r="57" spans="8:9" ht="30" customHeight="1" x14ac:dyDescent="0.35">
      <c r="H57" s="10"/>
      <c r="I57" s="10"/>
    </row>
    <row r="58" spans="8:9" ht="30" customHeight="1" x14ac:dyDescent="0.35">
      <c r="H58" s="10"/>
      <c r="I58" s="10"/>
    </row>
    <row r="59" spans="8:9" ht="30" customHeight="1" x14ac:dyDescent="0.35">
      <c r="H59" s="10"/>
      <c r="I59" s="10"/>
    </row>
    <row r="60" spans="8:9" ht="30" customHeight="1" x14ac:dyDescent="0.35">
      <c r="H60" s="10"/>
      <c r="I60" s="10"/>
    </row>
    <row r="61" spans="8:9" ht="30" customHeight="1" x14ac:dyDescent="0.35">
      <c r="H61" s="10"/>
      <c r="I61" s="10"/>
    </row>
    <row r="62" spans="8:9" ht="30" customHeight="1" x14ac:dyDescent="0.35">
      <c r="H62" s="10"/>
      <c r="I62" s="10"/>
    </row>
    <row r="63" spans="8:9" ht="30" customHeight="1" x14ac:dyDescent="0.35">
      <c r="H63" s="10"/>
      <c r="I63" s="10"/>
    </row>
    <row r="64" spans="8:9" ht="30" customHeight="1" x14ac:dyDescent="0.35">
      <c r="H64" s="10"/>
      <c r="I64" s="10"/>
    </row>
    <row r="65" spans="8:9" ht="30" customHeight="1" x14ac:dyDescent="0.35">
      <c r="H65" s="10"/>
      <c r="I65" s="10"/>
    </row>
    <row r="66" spans="8:9" ht="30" customHeight="1" x14ac:dyDescent="0.35">
      <c r="H66" s="10"/>
      <c r="I66" s="10"/>
    </row>
    <row r="67" spans="8:9" ht="30" customHeight="1" x14ac:dyDescent="0.35">
      <c r="H67" s="10"/>
      <c r="I67" s="10"/>
    </row>
    <row r="68" spans="8:9" ht="30" customHeight="1" x14ac:dyDescent="0.35">
      <c r="H68" s="10"/>
      <c r="I68" s="10"/>
    </row>
    <row r="69" spans="8:9" ht="30" customHeight="1" x14ac:dyDescent="0.35">
      <c r="H69" s="10"/>
      <c r="I69" s="10"/>
    </row>
    <row r="70" spans="8:9" ht="30" customHeight="1" x14ac:dyDescent="0.35">
      <c r="H70" s="10"/>
      <c r="I70" s="10"/>
    </row>
    <row r="71" spans="8:9" ht="30" customHeight="1" x14ac:dyDescent="0.35">
      <c r="H71" s="10"/>
      <c r="I71" s="10"/>
    </row>
    <row r="72" spans="8:9" ht="30" customHeight="1" x14ac:dyDescent="0.35">
      <c r="H72" s="10"/>
      <c r="I72" s="10"/>
    </row>
    <row r="73" spans="8:9" ht="30" customHeight="1" x14ac:dyDescent="0.35">
      <c r="H73" s="10"/>
      <c r="I73" s="10"/>
    </row>
    <row r="74" spans="8:9" ht="30" customHeight="1" x14ac:dyDescent="0.35">
      <c r="H74" s="10"/>
      <c r="I74" s="10"/>
    </row>
    <row r="75" spans="8:9" ht="30" customHeight="1" x14ac:dyDescent="0.35">
      <c r="H75" s="10"/>
      <c r="I75" s="10"/>
    </row>
    <row r="76" spans="8:9" ht="30" customHeight="1" x14ac:dyDescent="0.35">
      <c r="H76" s="10"/>
      <c r="I76" s="10"/>
    </row>
    <row r="77" spans="8:9" ht="30" customHeight="1" x14ac:dyDescent="0.35">
      <c r="H77" s="10"/>
      <c r="I77" s="10"/>
    </row>
    <row r="78" spans="8:9" ht="30" customHeight="1" x14ac:dyDescent="0.35">
      <c r="H78" s="10"/>
      <c r="I78" s="10"/>
    </row>
    <row r="79" spans="8:9" ht="30" customHeight="1" x14ac:dyDescent="0.35">
      <c r="H79" s="10"/>
      <c r="I79" s="10"/>
    </row>
    <row r="80" spans="8:9" ht="30" customHeight="1" x14ac:dyDescent="0.35">
      <c r="H80" s="10"/>
      <c r="I80" s="10"/>
    </row>
    <row r="81" spans="8:9" ht="30" customHeight="1" x14ac:dyDescent="0.35">
      <c r="H81" s="10"/>
      <c r="I81" s="10"/>
    </row>
    <row r="82" spans="8:9" ht="30" customHeight="1" x14ac:dyDescent="0.35">
      <c r="H82" s="10"/>
      <c r="I82" s="10"/>
    </row>
    <row r="83" spans="8:9" ht="30" customHeight="1" x14ac:dyDescent="0.35">
      <c r="H83" s="10"/>
      <c r="I83" s="10"/>
    </row>
    <row r="84" spans="8:9" ht="30" customHeight="1" x14ac:dyDescent="0.35">
      <c r="H84" s="10"/>
      <c r="I84" s="10"/>
    </row>
    <row r="85" spans="8:9" ht="30" customHeight="1" x14ac:dyDescent="0.35">
      <c r="H85" s="10"/>
      <c r="I85" s="10"/>
    </row>
    <row r="86" spans="8:9" ht="30" customHeight="1" x14ac:dyDescent="0.35">
      <c r="H86" s="10"/>
      <c r="I86" s="10"/>
    </row>
    <row r="87" spans="8:9" ht="30" customHeight="1" x14ac:dyDescent="0.35">
      <c r="H87" s="10"/>
      <c r="I87" s="10"/>
    </row>
    <row r="88" spans="8:9" ht="30" customHeight="1" x14ac:dyDescent="0.35">
      <c r="H88" s="10"/>
      <c r="I88" s="10"/>
    </row>
    <row r="89" spans="8:9" ht="30" customHeight="1" x14ac:dyDescent="0.35">
      <c r="H89" s="10"/>
      <c r="I89" s="10"/>
    </row>
    <row r="90" spans="8:9" ht="30" customHeight="1" x14ac:dyDescent="0.35">
      <c r="H90" s="10"/>
      <c r="I90" s="10"/>
    </row>
    <row r="91" spans="8:9" ht="30" customHeight="1" x14ac:dyDescent="0.35">
      <c r="H91" s="10"/>
      <c r="I91" s="10"/>
    </row>
    <row r="92" spans="8:9" ht="30" customHeight="1" x14ac:dyDescent="0.35">
      <c r="H92" s="10"/>
      <c r="I92" s="10"/>
    </row>
    <row r="93" spans="8:9" ht="30" customHeight="1" x14ac:dyDescent="0.35">
      <c r="H93" s="10"/>
      <c r="I93" s="10"/>
    </row>
    <row r="94" spans="8:9" ht="30" customHeight="1" x14ac:dyDescent="0.35">
      <c r="H94" s="10"/>
      <c r="I94" s="10"/>
    </row>
    <row r="95" spans="8:9" ht="30" customHeight="1" x14ac:dyDescent="0.35">
      <c r="H95" s="10"/>
      <c r="I95" s="10"/>
    </row>
    <row r="96" spans="8:9" ht="30" customHeight="1" x14ac:dyDescent="0.35">
      <c r="H96" s="10"/>
      <c r="I96" s="10"/>
    </row>
    <row r="97" spans="8:9" ht="30" customHeight="1" x14ac:dyDescent="0.35">
      <c r="H97" s="10"/>
      <c r="I97" s="10"/>
    </row>
    <row r="98" spans="8:9" ht="30" customHeight="1" x14ac:dyDescent="0.35">
      <c r="H98" s="10"/>
      <c r="I98" s="10"/>
    </row>
    <row r="99" spans="8:9" ht="30" customHeight="1" x14ac:dyDescent="0.35">
      <c r="H99" s="10"/>
      <c r="I99" s="10"/>
    </row>
    <row r="100" spans="8:9" ht="30" customHeight="1" x14ac:dyDescent="0.35">
      <c r="H100" s="10"/>
      <c r="I100" s="10"/>
    </row>
    <row r="101" spans="8:9" ht="30" customHeight="1" x14ac:dyDescent="0.35">
      <c r="H101" s="10"/>
      <c r="I101" s="10"/>
    </row>
    <row r="102" spans="8:9" ht="30" customHeight="1" x14ac:dyDescent="0.35">
      <c r="H102" s="10"/>
      <c r="I102" s="10"/>
    </row>
    <row r="103" spans="8:9" ht="30" customHeight="1" x14ac:dyDescent="0.35">
      <c r="H103" s="10"/>
      <c r="I103" s="10"/>
    </row>
    <row r="104" spans="8:9" ht="30" customHeight="1" x14ac:dyDescent="0.35">
      <c r="H104" s="10"/>
      <c r="I104" s="10"/>
    </row>
    <row r="105" spans="8:9" ht="30" customHeight="1" x14ac:dyDescent="0.35">
      <c r="H105" s="10"/>
      <c r="I105" s="10"/>
    </row>
    <row r="106" spans="8:9" ht="30" customHeight="1" x14ac:dyDescent="0.35">
      <c r="H106" s="10"/>
      <c r="I106" s="10"/>
    </row>
    <row r="107" spans="8:9" ht="30" customHeight="1" x14ac:dyDescent="0.35">
      <c r="H107" s="10"/>
      <c r="I107" s="10"/>
    </row>
    <row r="108" spans="8:9" ht="30" customHeight="1" x14ac:dyDescent="0.35">
      <c r="H108" s="10"/>
      <c r="I108" s="10"/>
    </row>
    <row r="109" spans="8:9" ht="30" customHeight="1" x14ac:dyDescent="0.35">
      <c r="H109" s="10"/>
      <c r="I109" s="10"/>
    </row>
    <row r="110" spans="8:9" ht="30" customHeight="1" x14ac:dyDescent="0.35">
      <c r="H110" s="10"/>
      <c r="I110" s="10"/>
    </row>
    <row r="111" spans="8:9" ht="30" customHeight="1" x14ac:dyDescent="0.35">
      <c r="H111" s="10"/>
      <c r="I111" s="10"/>
    </row>
    <row r="112" spans="8:9" ht="30" customHeight="1" x14ac:dyDescent="0.35">
      <c r="H112" s="10"/>
      <c r="I112" s="10"/>
    </row>
    <row r="113" spans="8:9" ht="30" customHeight="1" x14ac:dyDescent="0.35">
      <c r="H113" s="10"/>
      <c r="I113" s="10"/>
    </row>
    <row r="114" spans="8:9" ht="30" customHeight="1" x14ac:dyDescent="0.35">
      <c r="H114" s="10"/>
      <c r="I114" s="10"/>
    </row>
    <row r="115" spans="8:9" ht="30" customHeight="1" x14ac:dyDescent="0.35">
      <c r="H115" s="10"/>
      <c r="I115" s="10"/>
    </row>
    <row r="116" spans="8:9" ht="30" customHeight="1" x14ac:dyDescent="0.35">
      <c r="H116" s="10"/>
      <c r="I116" s="10"/>
    </row>
    <row r="117" spans="8:9" ht="30" customHeight="1" x14ac:dyDescent="0.35">
      <c r="H117" s="10"/>
      <c r="I117" s="10"/>
    </row>
    <row r="118" spans="8:9" ht="30" customHeight="1" x14ac:dyDescent="0.35">
      <c r="H118" s="10"/>
      <c r="I118" s="10"/>
    </row>
    <row r="119" spans="8:9" ht="30" customHeight="1" x14ac:dyDescent="0.35">
      <c r="H119" s="10"/>
      <c r="I119" s="10"/>
    </row>
    <row r="120" spans="8:9" ht="30" customHeight="1" x14ac:dyDescent="0.35">
      <c r="H120" s="10"/>
      <c r="I120" s="10"/>
    </row>
    <row r="121" spans="8:9" ht="30" customHeight="1" x14ac:dyDescent="0.35">
      <c r="H121" s="10"/>
      <c r="I121" s="10"/>
    </row>
    <row r="122" spans="8:9" ht="30" customHeight="1" x14ac:dyDescent="0.35">
      <c r="H122" s="10"/>
      <c r="I122" s="10"/>
    </row>
    <row r="123" spans="8:9" ht="30" customHeight="1" x14ac:dyDescent="0.35">
      <c r="H123" s="10"/>
      <c r="I123" s="10"/>
    </row>
    <row r="124" spans="8:9" ht="30" customHeight="1" x14ac:dyDescent="0.35">
      <c r="H124" s="10"/>
      <c r="I124" s="10"/>
    </row>
    <row r="125" spans="8:9" ht="30" customHeight="1" x14ac:dyDescent="0.35">
      <c r="H125" s="10"/>
      <c r="I125" s="10"/>
    </row>
    <row r="126" spans="8:9" ht="30" customHeight="1" x14ac:dyDescent="0.35">
      <c r="H126" s="10"/>
      <c r="I126" s="10"/>
    </row>
    <row r="127" spans="8:9" ht="30" customHeight="1" x14ac:dyDescent="0.35">
      <c r="H127" s="10"/>
      <c r="I127" s="10"/>
    </row>
    <row r="128" spans="8:9" ht="30" customHeight="1" x14ac:dyDescent="0.35">
      <c r="H128" s="10"/>
      <c r="I128" s="10"/>
    </row>
    <row r="129" spans="8:9" ht="30" customHeight="1" x14ac:dyDescent="0.35">
      <c r="H129" s="10"/>
      <c r="I129" s="10"/>
    </row>
    <row r="130" spans="8:9" ht="30" customHeight="1" x14ac:dyDescent="0.35">
      <c r="H130" s="10"/>
      <c r="I130" s="10"/>
    </row>
    <row r="131" spans="8:9" ht="30" customHeight="1" x14ac:dyDescent="0.35">
      <c r="H131" s="10"/>
      <c r="I131" s="10"/>
    </row>
    <row r="132" spans="8:9" ht="30" customHeight="1" x14ac:dyDescent="0.35">
      <c r="H132" s="10"/>
      <c r="I132" s="10"/>
    </row>
    <row r="133" spans="8:9" ht="30" customHeight="1" x14ac:dyDescent="0.35">
      <c r="H133" s="10"/>
      <c r="I133" s="10"/>
    </row>
  </sheetData>
  <sheetProtection insertColumns="0" insertRows="0" deleteColumns="0" deleteRows="0" selectLockedCells="1" autoFilter="0"/>
  <dataConsolidate/>
  <mergeCells count="3">
    <mergeCell ref="B1:D1"/>
    <mergeCell ref="B2:D2"/>
    <mergeCell ref="G1:S2"/>
  </mergeCells>
  <conditionalFormatting sqref="F11">
    <cfRule type="cellIs" dxfId="219" priority="3" operator="lessThan">
      <formula>0</formula>
    </cfRule>
  </conditionalFormatting>
  <dataValidations count="2">
    <dataValidation type="custom" allowBlank="1" showInputMessage="1" showErrorMessage="1" errorTitle="ALERT" error="This cell is automatically populated and should not be overwitten. Overwriting this cell would break calculations in this worksheet." sqref="G5:G12" xr:uid="{00000000-0002-0000-0100-000000000000}">
      <formula1>LEN(G5)=""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6:F10" xr:uid="{00000000-0002-0000-0100-000001000000}"/>
  </dataValidations>
  <printOptions horizontalCentered="1"/>
  <pageMargins left="0.25" right="0.25" top="0.25" bottom="0.25" header="0" footer="0"/>
  <pageSetup scale="97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8E9C3-16AA-4C4A-96B3-05E1973A8501}">
  <sheetPr codeName="Sheet6">
    <tabColor rgb="FFA3A18F"/>
  </sheetPr>
  <dimension ref="A1:S115"/>
  <sheetViews>
    <sheetView showGridLines="0" zoomScaleNormal="100" workbookViewId="0">
      <selection activeCell="B1" sqref="B1:E1"/>
    </sheetView>
  </sheetViews>
  <sheetFormatPr defaultColWidth="9" defaultRowHeight="27" customHeight="1" x14ac:dyDescent="0.35"/>
  <cols>
    <col min="1" max="1" width="4.125" customWidth="1"/>
    <col min="2" max="2" width="40.5" style="50" bestFit="1" customWidth="1"/>
    <col min="3" max="5" width="20.75" customWidth="1"/>
    <col min="6" max="6" width="37.5" customWidth="1"/>
    <col min="7" max="8" width="4.125" customWidth="1"/>
  </cols>
  <sheetData>
    <row r="1" spans="1:19" ht="31.5" customHeight="1" x14ac:dyDescent="0.5">
      <c r="B1" s="66" t="s">
        <v>145</v>
      </c>
      <c r="C1" s="66"/>
      <c r="D1" s="66"/>
      <c r="E1" s="66"/>
      <c r="F1" s="14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50.45" customHeight="1" x14ac:dyDescent="0.35">
      <c r="B2" s="67" t="s">
        <v>144</v>
      </c>
      <c r="C2" s="67"/>
      <c r="D2" s="67"/>
      <c r="E2" s="67"/>
      <c r="F2" s="14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25.5" customHeight="1" x14ac:dyDescent="0.35">
      <c r="B3" s="60" t="s">
        <v>14</v>
      </c>
      <c r="C3" s="64"/>
      <c r="D3" s="18"/>
      <c r="E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5.5" customHeight="1" x14ac:dyDescent="0.35">
      <c r="B4" s="49"/>
      <c r="C4" s="48"/>
      <c r="D4" s="18"/>
      <c r="E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27" customHeight="1" x14ac:dyDescent="0.35">
      <c r="A5" s="51" t="s">
        <v>15</v>
      </c>
      <c r="B5" s="48"/>
      <c r="C5" s="18"/>
      <c r="D5" s="18"/>
      <c r="F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27" customHeight="1" x14ac:dyDescent="0.35">
      <c r="A6" s="52" t="s">
        <v>16</v>
      </c>
      <c r="B6" s="14" t="s">
        <v>17</v>
      </c>
      <c r="C6" s="14" t="s">
        <v>18</v>
      </c>
      <c r="D6" s="14" t="s">
        <v>5</v>
      </c>
      <c r="E6" s="14" t="s">
        <v>7</v>
      </c>
      <c r="F6" s="9"/>
    </row>
    <row r="7" spans="1:19" ht="27" customHeight="1" x14ac:dyDescent="0.35">
      <c r="A7" s="38"/>
      <c r="B7" s="39" t="s">
        <v>19</v>
      </c>
      <c r="C7" s="37">
        <v>4355.63</v>
      </c>
      <c r="D7" s="37">
        <v>4355.63</v>
      </c>
      <c r="E7" s="37">
        <f>Expenses[[#This Row],[Column1]]-Expenses[[#This Row],[ACTUAL]]</f>
        <v>0</v>
      </c>
      <c r="F7" s="6"/>
    </row>
    <row r="8" spans="1:19" ht="27" customHeight="1" x14ac:dyDescent="0.35">
      <c r="A8" s="38"/>
      <c r="B8" s="39" t="s">
        <v>20</v>
      </c>
      <c r="C8" s="37">
        <v>100</v>
      </c>
      <c r="D8" s="37">
        <v>100</v>
      </c>
      <c r="E8" s="37">
        <f>Expenses[[#This Row],[Column1]]-Expenses[[#This Row],[ACTUAL]]</f>
        <v>0</v>
      </c>
      <c r="F8" s="6"/>
    </row>
    <row r="9" spans="1:19" ht="27" customHeight="1" x14ac:dyDescent="0.35">
      <c r="A9" s="38"/>
      <c r="B9" s="39"/>
      <c r="C9" s="37"/>
      <c r="D9" s="37"/>
      <c r="E9" s="37">
        <f>Expenses[[#This Row],[Column1]]-Expenses[[#This Row],[ACTUAL]]</f>
        <v>0</v>
      </c>
      <c r="F9" s="6"/>
    </row>
    <row r="10" spans="1:19" ht="27" customHeight="1" x14ac:dyDescent="0.35">
      <c r="A10" s="38"/>
      <c r="B10" s="39"/>
      <c r="C10" s="37"/>
      <c r="D10" s="37"/>
      <c r="E10" s="37">
        <f>Expenses[[#This Row],[Column1]]-Expenses[[#This Row],[ACTUAL]]</f>
        <v>0</v>
      </c>
      <c r="F10" s="6"/>
    </row>
    <row r="11" spans="1:19" ht="27" customHeight="1" x14ac:dyDescent="0.35">
      <c r="A11" s="25" t="str">
        <f>CONCATENATE("Total ",A5)</f>
        <v xml:space="preserve">Total  </v>
      </c>
      <c r="B11" s="40" t="s">
        <v>21</v>
      </c>
      <c r="C11" s="32">
        <f>SUBTOTAL(109,Expenses[Column1])</f>
        <v>4455.63</v>
      </c>
      <c r="D11" s="32">
        <f>SUBTOTAL(109,Expenses[ACTUAL])</f>
        <v>4455.63</v>
      </c>
      <c r="E11" s="32">
        <f>SUBTOTAL(109,Expenses[DIFFERENCE])</f>
        <v>0</v>
      </c>
      <c r="F11" s="8"/>
    </row>
    <row r="12" spans="1:19" ht="27" customHeight="1" x14ac:dyDescent="0.35">
      <c r="B12" s="53"/>
    </row>
    <row r="13" spans="1:19" ht="27" customHeight="1" x14ac:dyDescent="0.35">
      <c r="B13" s="51" t="s">
        <v>22</v>
      </c>
      <c r="C13" s="48"/>
      <c r="D13" s="18"/>
      <c r="E13" s="18"/>
    </row>
    <row r="14" spans="1:19" ht="27" customHeight="1" x14ac:dyDescent="0.35">
      <c r="B14" s="52" t="s">
        <v>16</v>
      </c>
      <c r="C14" s="14" t="s">
        <v>23</v>
      </c>
      <c r="D14" s="14" t="s">
        <v>4</v>
      </c>
      <c r="E14" s="14" t="s">
        <v>5</v>
      </c>
      <c r="F14" s="14" t="s">
        <v>7</v>
      </c>
    </row>
    <row r="15" spans="1:19" ht="27" customHeight="1" x14ac:dyDescent="0.35">
      <c r="B15" s="38" t="s">
        <v>24</v>
      </c>
      <c r="C15" s="39" t="s">
        <v>22</v>
      </c>
      <c r="D15" s="37">
        <v>0</v>
      </c>
      <c r="E15" s="37">
        <v>0</v>
      </c>
      <c r="F15" s="37">
        <f>Expenses8[[#This Row],[ESTIMATED]]-Expenses8[[#This Row],[ACTUAL]]</f>
        <v>0</v>
      </c>
    </row>
    <row r="16" spans="1:19" ht="27" customHeight="1" x14ac:dyDescent="0.35">
      <c r="B16" s="38" t="s">
        <v>25</v>
      </c>
      <c r="C16" s="39" t="s">
        <v>22</v>
      </c>
      <c r="D16" s="37"/>
      <c r="E16" s="37"/>
      <c r="F16" s="37">
        <f>Expenses8[[#This Row],[ESTIMATED]]-Expenses8[[#This Row],[ACTUAL]]</f>
        <v>0</v>
      </c>
    </row>
    <row r="17" spans="2:6" ht="27" customHeight="1" x14ac:dyDescent="0.35">
      <c r="B17" s="38" t="s">
        <v>26</v>
      </c>
      <c r="C17" s="39" t="s">
        <v>22</v>
      </c>
      <c r="D17" s="37"/>
      <c r="E17" s="37"/>
      <c r="F17" s="37">
        <f>Expenses8[[#This Row],[ESTIMATED]]-Expenses8[[#This Row],[ACTUAL]]</f>
        <v>0</v>
      </c>
    </row>
    <row r="18" spans="2:6" ht="27" customHeight="1" x14ac:dyDescent="0.35">
      <c r="B18" s="25" t="str">
        <f>CONCATENATE("Total ",B13)</f>
        <v>Total Education</v>
      </c>
      <c r="C18" s="40" t="s">
        <v>21</v>
      </c>
      <c r="D18" s="32">
        <f>SUBTOTAL(109,Expenses8[ESTIMATED])</f>
        <v>0</v>
      </c>
      <c r="E18" s="32">
        <f>SUBTOTAL(109,Expenses8[ACTUAL])</f>
        <v>0</v>
      </c>
      <c r="F18" s="32">
        <f>SUBTOTAL(109,Expenses8[DIFFERENCE])</f>
        <v>0</v>
      </c>
    </row>
    <row r="19" spans="2:6" ht="27" customHeight="1" x14ac:dyDescent="0.35">
      <c r="B19" s="53"/>
    </row>
    <row r="20" spans="2:6" ht="27" customHeight="1" x14ac:dyDescent="0.35">
      <c r="B20" s="51" t="s">
        <v>27</v>
      </c>
      <c r="C20" s="48"/>
      <c r="D20" s="18"/>
      <c r="E20" s="18"/>
    </row>
    <row r="21" spans="2:6" ht="27" customHeight="1" x14ac:dyDescent="0.35">
      <c r="B21" s="52" t="s">
        <v>16</v>
      </c>
      <c r="C21" s="14" t="s">
        <v>23</v>
      </c>
      <c r="D21" s="14" t="s">
        <v>4</v>
      </c>
      <c r="E21" s="14" t="s">
        <v>5</v>
      </c>
      <c r="F21" s="14" t="s">
        <v>7</v>
      </c>
    </row>
    <row r="22" spans="2:6" ht="27" customHeight="1" x14ac:dyDescent="0.35">
      <c r="B22" s="47" t="s">
        <v>28</v>
      </c>
      <c r="C22" s="39" t="s">
        <v>27</v>
      </c>
      <c r="D22" s="37"/>
      <c r="E22" s="37"/>
      <c r="F22" s="37">
        <f>Expenses814[[#This Row],[ESTIMATED]]-Expenses814[[#This Row],[ACTUAL]]</f>
        <v>0</v>
      </c>
    </row>
    <row r="23" spans="2:6" ht="27" customHeight="1" x14ac:dyDescent="0.35">
      <c r="B23" s="47" t="s">
        <v>29</v>
      </c>
      <c r="C23" s="39" t="s">
        <v>27</v>
      </c>
      <c r="D23" s="37">
        <v>0</v>
      </c>
      <c r="E23" s="37"/>
      <c r="F23" s="37">
        <f>Expenses814[[#This Row],[ESTIMATED]]-Expenses814[[#This Row],[ACTUAL]]</f>
        <v>0</v>
      </c>
    </row>
    <row r="24" spans="2:6" ht="27" customHeight="1" x14ac:dyDescent="0.35">
      <c r="B24" s="47" t="s">
        <v>30</v>
      </c>
      <c r="C24" s="39" t="s">
        <v>27</v>
      </c>
      <c r="D24" s="37">
        <v>0</v>
      </c>
      <c r="E24" s="37">
        <v>0</v>
      </c>
      <c r="F24" s="37">
        <f>Expenses814[[#This Row],[ESTIMATED]]-Expenses814[[#This Row],[ACTUAL]]</f>
        <v>0</v>
      </c>
    </row>
    <row r="25" spans="2:6" ht="27" customHeight="1" x14ac:dyDescent="0.35">
      <c r="B25" s="47" t="s">
        <v>31</v>
      </c>
      <c r="C25" s="39" t="s">
        <v>27</v>
      </c>
      <c r="D25" s="37">
        <v>0</v>
      </c>
      <c r="E25" s="37"/>
      <c r="F25" s="37">
        <f>Expenses814[[#This Row],[ESTIMATED]]-Expenses814[[#This Row],[ACTUAL]]</f>
        <v>0</v>
      </c>
    </row>
    <row r="26" spans="2:6" ht="27" customHeight="1" x14ac:dyDescent="0.35">
      <c r="B26" s="47" t="s">
        <v>32</v>
      </c>
      <c r="C26" s="39" t="s">
        <v>27</v>
      </c>
      <c r="D26" s="37"/>
      <c r="E26" s="37"/>
      <c r="F26" s="37">
        <f>Expenses814[[#This Row],[ESTIMATED]]-Expenses814[[#This Row],[ACTUAL]]</f>
        <v>0</v>
      </c>
    </row>
    <row r="27" spans="2:6" ht="27" customHeight="1" x14ac:dyDescent="0.35">
      <c r="B27" s="25" t="str">
        <f>CONCATENATE("Total ",B20)</f>
        <v>Total Shopping</v>
      </c>
      <c r="C27" s="40" t="s">
        <v>21</v>
      </c>
      <c r="D27" s="32">
        <f>SUBTOTAL(109,Expenses814[ESTIMATED])</f>
        <v>0</v>
      </c>
      <c r="E27" s="32">
        <f>SUBTOTAL(109,Expenses814[ACTUAL])</f>
        <v>0</v>
      </c>
      <c r="F27" s="32">
        <f>SUBTOTAL(109,Expenses814[DIFFERENCE])</f>
        <v>0</v>
      </c>
    </row>
    <row r="28" spans="2:6" ht="27" customHeight="1" x14ac:dyDescent="0.35">
      <c r="B28" s="53"/>
    </row>
    <row r="29" spans="2:6" ht="27" customHeight="1" x14ac:dyDescent="0.35">
      <c r="B29" s="51" t="s">
        <v>33</v>
      </c>
      <c r="C29" s="48"/>
      <c r="D29" s="18"/>
      <c r="E29" s="18"/>
    </row>
    <row r="30" spans="2:6" ht="27" customHeight="1" x14ac:dyDescent="0.35">
      <c r="B30" s="52" t="s">
        <v>16</v>
      </c>
      <c r="C30" s="14" t="s">
        <v>23</v>
      </c>
      <c r="D30" s="14" t="s">
        <v>4</v>
      </c>
      <c r="E30" s="14" t="s">
        <v>5</v>
      </c>
      <c r="F30" s="14" t="s">
        <v>7</v>
      </c>
    </row>
    <row r="31" spans="2:6" ht="27" customHeight="1" x14ac:dyDescent="0.35">
      <c r="B31" s="38" t="s">
        <v>34</v>
      </c>
      <c r="C31" s="39" t="s">
        <v>33</v>
      </c>
      <c r="D31" s="37"/>
      <c r="E31" s="37"/>
      <c r="F31" s="37">
        <f>Expenses81415[[#This Row],[ESTIMATED]]-Expenses81415[[#This Row],[ACTUAL]]</f>
        <v>0</v>
      </c>
    </row>
    <row r="32" spans="2:6" ht="27" customHeight="1" x14ac:dyDescent="0.35">
      <c r="B32" s="38" t="s">
        <v>35</v>
      </c>
      <c r="C32" s="39" t="s">
        <v>33</v>
      </c>
      <c r="D32" s="37"/>
      <c r="E32" s="37"/>
      <c r="F32" s="37">
        <f>Expenses81415[[#This Row],[ESTIMATED]]-Expenses81415[[#This Row],[ACTUAL]]</f>
        <v>0</v>
      </c>
    </row>
    <row r="33" spans="2:6" ht="27" customHeight="1" x14ac:dyDescent="0.35">
      <c r="B33" s="38" t="s">
        <v>36</v>
      </c>
      <c r="C33" s="39" t="s">
        <v>33</v>
      </c>
      <c r="D33" s="37"/>
      <c r="E33" s="37"/>
      <c r="F33" s="37">
        <f>Expenses81415[[#This Row],[ESTIMATED]]-Expenses81415[[#This Row],[ACTUAL]]</f>
        <v>0</v>
      </c>
    </row>
    <row r="34" spans="2:6" ht="27" customHeight="1" x14ac:dyDescent="0.35">
      <c r="B34" s="38" t="s">
        <v>37</v>
      </c>
      <c r="C34" s="39" t="s">
        <v>33</v>
      </c>
      <c r="D34" s="37"/>
      <c r="E34" s="37"/>
      <c r="F34" s="37">
        <f>Expenses81415[[#This Row],[ESTIMATED]]-Expenses81415[[#This Row],[ACTUAL]]</f>
        <v>0</v>
      </c>
    </row>
    <row r="35" spans="2:6" ht="27" customHeight="1" x14ac:dyDescent="0.35">
      <c r="B35" s="38" t="s">
        <v>38</v>
      </c>
      <c r="C35" s="39" t="s">
        <v>33</v>
      </c>
      <c r="D35" s="37"/>
      <c r="E35" s="37">
        <v>0</v>
      </c>
      <c r="F35" s="37">
        <f>Expenses81415[[#This Row],[ESTIMATED]]-Expenses81415[[#This Row],[ACTUAL]]</f>
        <v>0</v>
      </c>
    </row>
    <row r="36" spans="2:6" ht="27" customHeight="1" x14ac:dyDescent="0.35">
      <c r="B36" s="38" t="s">
        <v>39</v>
      </c>
      <c r="C36" s="39" t="s">
        <v>33</v>
      </c>
      <c r="D36" s="37">
        <v>0</v>
      </c>
      <c r="E36" s="37">
        <v>0</v>
      </c>
      <c r="F36" s="37">
        <f>Expenses81415[[#This Row],[ESTIMATED]]-Expenses81415[[#This Row],[ACTUAL]]</f>
        <v>0</v>
      </c>
    </row>
    <row r="37" spans="2:6" ht="27" customHeight="1" x14ac:dyDescent="0.35">
      <c r="B37" s="38" t="s">
        <v>40</v>
      </c>
      <c r="C37" s="39" t="s">
        <v>33</v>
      </c>
      <c r="D37" s="37">
        <v>0</v>
      </c>
      <c r="E37" s="37"/>
      <c r="F37" s="37">
        <f>Expenses81415[[#This Row],[ESTIMATED]]-Expenses81415[[#This Row],[ACTUAL]]</f>
        <v>0</v>
      </c>
    </row>
    <row r="38" spans="2:6" ht="27" customHeight="1" x14ac:dyDescent="0.35">
      <c r="B38" s="25" t="str">
        <f>CONCATENATE("Total ",B29)</f>
        <v>Total Health &amp; Fitness</v>
      </c>
      <c r="C38" s="40" t="s">
        <v>21</v>
      </c>
      <c r="D38" s="32">
        <f>SUBTOTAL(109,Expenses81415[ESTIMATED])</f>
        <v>0</v>
      </c>
      <c r="E38" s="32">
        <f>SUBTOTAL(109,Expenses81415[ACTUAL])</f>
        <v>0</v>
      </c>
      <c r="F38" s="32">
        <f>SUBTOTAL(109,Expenses81415[DIFFERENCE])</f>
        <v>0</v>
      </c>
    </row>
    <row r="39" spans="2:6" ht="27" customHeight="1" x14ac:dyDescent="0.35">
      <c r="B39" s="53"/>
    </row>
    <row r="40" spans="2:6" ht="27" customHeight="1" x14ac:dyDescent="0.35">
      <c r="B40" s="51" t="s">
        <v>41</v>
      </c>
      <c r="C40" s="48"/>
      <c r="D40" s="18"/>
      <c r="E40" s="18"/>
    </row>
    <row r="41" spans="2:6" ht="27" customHeight="1" x14ac:dyDescent="0.35">
      <c r="B41" s="52" t="s">
        <v>16</v>
      </c>
      <c r="C41" s="14" t="s">
        <v>23</v>
      </c>
      <c r="D41" s="14" t="s">
        <v>4</v>
      </c>
      <c r="E41" s="14" t="s">
        <v>5</v>
      </c>
      <c r="F41" s="14" t="s">
        <v>7</v>
      </c>
    </row>
    <row r="42" spans="2:6" ht="27" customHeight="1" x14ac:dyDescent="0.35">
      <c r="B42" s="38" t="s">
        <v>42</v>
      </c>
      <c r="C42" s="39" t="s">
        <v>41</v>
      </c>
      <c r="D42" s="37"/>
      <c r="E42" s="37"/>
      <c r="F42" s="37">
        <f>Expenses816[[#This Row],[ESTIMATED]]-Expenses816[[#This Row],[ACTUAL]]</f>
        <v>0</v>
      </c>
    </row>
    <row r="43" spans="2:6" ht="27" customHeight="1" x14ac:dyDescent="0.35">
      <c r="B43" s="38" t="s">
        <v>43</v>
      </c>
      <c r="C43" s="39" t="s">
        <v>41</v>
      </c>
      <c r="D43" s="37">
        <v>40</v>
      </c>
      <c r="E43" s="37">
        <v>40</v>
      </c>
      <c r="F43" s="37">
        <f>Expenses816[[#This Row],[ESTIMATED]]-Expenses816[[#This Row],[ACTUAL]]</f>
        <v>0</v>
      </c>
    </row>
    <row r="44" spans="2:6" ht="27" customHeight="1" x14ac:dyDescent="0.35">
      <c r="B44" s="38" t="s">
        <v>44</v>
      </c>
      <c r="C44" s="39" t="s">
        <v>41</v>
      </c>
      <c r="D44" s="37"/>
      <c r="E44" s="37"/>
      <c r="F44" s="37">
        <f>Expenses816[[#This Row],[ESTIMATED]]-Expenses816[[#This Row],[ACTUAL]]</f>
        <v>0</v>
      </c>
    </row>
    <row r="45" spans="2:6" ht="27" customHeight="1" x14ac:dyDescent="0.35">
      <c r="B45" s="25" t="str">
        <f>CONCATENATE("Total ",B40)</f>
        <v>Total Personal Care</v>
      </c>
      <c r="C45" s="40" t="s">
        <v>21</v>
      </c>
      <c r="D45" s="32">
        <f>SUBTOTAL(109,Expenses816[ESTIMATED])</f>
        <v>40</v>
      </c>
      <c r="E45" s="32">
        <f>SUBTOTAL(109,Expenses816[ACTUAL])</f>
        <v>40</v>
      </c>
      <c r="F45" s="32">
        <f>SUBTOTAL(109,Expenses816[DIFFERENCE])</f>
        <v>0</v>
      </c>
    </row>
    <row r="46" spans="2:6" ht="27" customHeight="1" x14ac:dyDescent="0.35">
      <c r="B46" s="53"/>
    </row>
    <row r="47" spans="2:6" ht="27" customHeight="1" x14ac:dyDescent="0.35">
      <c r="B47" s="51" t="s">
        <v>45</v>
      </c>
      <c r="C47" s="48"/>
      <c r="D47" s="18"/>
      <c r="E47" s="18"/>
    </row>
    <row r="48" spans="2:6" ht="27" customHeight="1" x14ac:dyDescent="0.35">
      <c r="B48" s="52" t="s">
        <v>16</v>
      </c>
      <c r="C48" s="14" t="s">
        <v>23</v>
      </c>
      <c r="D48" s="14" t="s">
        <v>4</v>
      </c>
      <c r="E48" s="14" t="s">
        <v>5</v>
      </c>
      <c r="F48" s="14" t="s">
        <v>7</v>
      </c>
    </row>
    <row r="49" spans="2:6" ht="27" customHeight="1" x14ac:dyDescent="0.35">
      <c r="B49" s="38" t="s">
        <v>46</v>
      </c>
      <c r="C49" s="39" t="s">
        <v>45</v>
      </c>
      <c r="D49" s="37"/>
      <c r="E49" s="37"/>
      <c r="F49" s="37">
        <f>Expenses81617[[#This Row],[ESTIMATED]]-Expenses81617[[#This Row],[ACTUAL]]</f>
        <v>0</v>
      </c>
    </row>
    <row r="50" spans="2:6" ht="27" customHeight="1" x14ac:dyDescent="0.35">
      <c r="B50" s="38" t="s">
        <v>47</v>
      </c>
      <c r="C50" s="39" t="s">
        <v>45</v>
      </c>
      <c r="D50" s="37"/>
      <c r="E50" s="37"/>
      <c r="F50" s="37">
        <f>Expenses81617[[#This Row],[ESTIMATED]]-Expenses81617[[#This Row],[ACTUAL]]</f>
        <v>0</v>
      </c>
    </row>
    <row r="51" spans="2:6" ht="27" customHeight="1" x14ac:dyDescent="0.35">
      <c r="B51" s="38" t="s">
        <v>48</v>
      </c>
      <c r="C51" s="39" t="s">
        <v>45</v>
      </c>
      <c r="D51" s="37"/>
      <c r="E51" s="37"/>
      <c r="F51" s="37">
        <f>Expenses81617[[#This Row],[ESTIMATED]]-Expenses81617[[#This Row],[ACTUAL]]</f>
        <v>0</v>
      </c>
    </row>
    <row r="52" spans="2:6" ht="27" customHeight="1" x14ac:dyDescent="0.35">
      <c r="B52" s="38" t="s">
        <v>49</v>
      </c>
      <c r="C52" s="39" t="s">
        <v>45</v>
      </c>
      <c r="D52" s="37"/>
      <c r="E52" s="37"/>
      <c r="F52" s="37">
        <f>Expenses81617[[#This Row],[ESTIMATED]]-Expenses81617[[#This Row],[ACTUAL]]</f>
        <v>0</v>
      </c>
    </row>
    <row r="53" spans="2:6" ht="27" customHeight="1" x14ac:dyDescent="0.35">
      <c r="B53" s="38" t="s">
        <v>50</v>
      </c>
      <c r="C53" s="39" t="s">
        <v>45</v>
      </c>
      <c r="D53" s="37"/>
      <c r="E53" s="37"/>
      <c r="F53" s="37">
        <f>Expenses81617[[#This Row],[ESTIMATED]]-Expenses81617[[#This Row],[ACTUAL]]</f>
        <v>0</v>
      </c>
    </row>
    <row r="54" spans="2:6" ht="27" customHeight="1" x14ac:dyDescent="0.35">
      <c r="B54" s="38" t="s">
        <v>51</v>
      </c>
      <c r="C54" s="39" t="s">
        <v>45</v>
      </c>
      <c r="D54" s="37"/>
      <c r="E54" s="37"/>
      <c r="F54" s="37">
        <f>Expenses81617[[#This Row],[ESTIMATED]]-Expenses81617[[#This Row],[ACTUAL]]</f>
        <v>0</v>
      </c>
    </row>
    <row r="55" spans="2:6" ht="27" customHeight="1" x14ac:dyDescent="0.35">
      <c r="B55" s="25" t="str">
        <f>CONCATENATE("Total ",B47)</f>
        <v>Total Kids</v>
      </c>
      <c r="C55" s="40" t="s">
        <v>21</v>
      </c>
      <c r="D55" s="32">
        <f>SUBTOTAL(109,Expenses81617[ESTIMATED])</f>
        <v>0</v>
      </c>
      <c r="E55" s="32">
        <f>SUBTOTAL(109,Expenses81617[ACTUAL])</f>
        <v>0</v>
      </c>
      <c r="F55" s="32">
        <f>SUBTOTAL(109,Expenses81617[DIFFERENCE])</f>
        <v>0</v>
      </c>
    </row>
    <row r="56" spans="2:6" ht="27" customHeight="1" x14ac:dyDescent="0.35">
      <c r="B56" s="53"/>
    </row>
    <row r="57" spans="2:6" ht="27" customHeight="1" x14ac:dyDescent="0.35">
      <c r="B57" s="51" t="s">
        <v>52</v>
      </c>
      <c r="C57" s="48"/>
      <c r="D57" s="18"/>
      <c r="E57" s="18"/>
    </row>
    <row r="58" spans="2:6" ht="27" customHeight="1" x14ac:dyDescent="0.35">
      <c r="B58" s="52" t="s">
        <v>16</v>
      </c>
      <c r="C58" s="14" t="s">
        <v>23</v>
      </c>
      <c r="D58" s="14" t="s">
        <v>4</v>
      </c>
      <c r="E58" s="14" t="s">
        <v>5</v>
      </c>
      <c r="F58" s="14" t="s">
        <v>7</v>
      </c>
    </row>
    <row r="59" spans="2:6" ht="27" customHeight="1" x14ac:dyDescent="0.35">
      <c r="B59" s="38" t="s">
        <v>53</v>
      </c>
      <c r="C59" s="39" t="s">
        <v>52</v>
      </c>
      <c r="D59" s="37">
        <v>600</v>
      </c>
      <c r="E59" s="37">
        <v>600</v>
      </c>
      <c r="F59" s="37">
        <f>Expenses8161718[[#This Row],[ESTIMATED]]-Expenses8161718[[#This Row],[ACTUAL]]</f>
        <v>0</v>
      </c>
    </row>
    <row r="60" spans="2:6" ht="27" customHeight="1" x14ac:dyDescent="0.35">
      <c r="B60" s="38" t="s">
        <v>54</v>
      </c>
      <c r="C60" s="39" t="s">
        <v>52</v>
      </c>
      <c r="D60" s="37"/>
      <c r="E60" s="37"/>
      <c r="F60" s="37">
        <f>Expenses8161718[[#This Row],[ESTIMATED]]-Expenses8161718[[#This Row],[ACTUAL]]</f>
        <v>0</v>
      </c>
    </row>
    <row r="61" spans="2:6" ht="27" customHeight="1" x14ac:dyDescent="0.35">
      <c r="B61" s="38" t="s">
        <v>55</v>
      </c>
      <c r="C61" s="39" t="s">
        <v>52</v>
      </c>
      <c r="D61" s="37">
        <v>0</v>
      </c>
      <c r="E61" s="37">
        <v>0</v>
      </c>
      <c r="F61" s="37">
        <f>Expenses8161718[[#This Row],[ESTIMATED]]-Expenses8161718[[#This Row],[ACTUAL]]</f>
        <v>0</v>
      </c>
    </row>
    <row r="62" spans="2:6" ht="27" customHeight="1" x14ac:dyDescent="0.35">
      <c r="B62" s="38" t="s">
        <v>56</v>
      </c>
      <c r="C62" s="39" t="s">
        <v>52</v>
      </c>
      <c r="D62" s="37"/>
      <c r="E62" s="37"/>
      <c r="F62" s="37">
        <f>Expenses8161718[[#This Row],[ESTIMATED]]-Expenses8161718[[#This Row],[ACTUAL]]</f>
        <v>0</v>
      </c>
    </row>
    <row r="63" spans="2:6" ht="27" customHeight="1" x14ac:dyDescent="0.35">
      <c r="B63" s="38" t="s">
        <v>57</v>
      </c>
      <c r="C63" s="39" t="s">
        <v>52</v>
      </c>
      <c r="D63" s="37"/>
      <c r="E63" s="37"/>
      <c r="F63" s="37">
        <f>Expenses8161718[[#This Row],[ESTIMATED]]-Expenses8161718[[#This Row],[ACTUAL]]</f>
        <v>0</v>
      </c>
    </row>
    <row r="64" spans="2:6" ht="27" customHeight="1" x14ac:dyDescent="0.35">
      <c r="B64" s="25" t="str">
        <f>CONCATENATE("Total ",B57)</f>
        <v>Total Food &amp; Dining</v>
      </c>
      <c r="C64" s="40" t="s">
        <v>21</v>
      </c>
      <c r="D64" s="32">
        <f>SUBTOTAL(109,Expenses8161718[ESTIMATED])</f>
        <v>600</v>
      </c>
      <c r="E64" s="32">
        <f>SUBTOTAL(109,Expenses8161718[ACTUAL])</f>
        <v>600</v>
      </c>
      <c r="F64" s="32">
        <f>SUBTOTAL(109,Expenses8161718[DIFFERENCE])</f>
        <v>0</v>
      </c>
    </row>
    <row r="65" spans="2:6" ht="27" customHeight="1" x14ac:dyDescent="0.35">
      <c r="B65" s="53"/>
    </row>
    <row r="66" spans="2:6" ht="27" customHeight="1" x14ac:dyDescent="0.35">
      <c r="B66" s="51" t="s">
        <v>58</v>
      </c>
      <c r="C66" s="48"/>
      <c r="D66" s="18"/>
      <c r="E66" s="18"/>
    </row>
    <row r="67" spans="2:6" ht="27" customHeight="1" x14ac:dyDescent="0.35">
      <c r="B67" s="52" t="s">
        <v>16</v>
      </c>
      <c r="C67" s="14" t="s">
        <v>23</v>
      </c>
      <c r="D67" s="14" t="s">
        <v>4</v>
      </c>
      <c r="E67" s="14" t="s">
        <v>5</v>
      </c>
      <c r="F67" s="14" t="s">
        <v>7</v>
      </c>
    </row>
    <row r="68" spans="2:6" ht="27" customHeight="1" x14ac:dyDescent="0.35">
      <c r="B68" s="38" t="s">
        <v>59</v>
      </c>
      <c r="C68" s="39" t="s">
        <v>58</v>
      </c>
      <c r="D68" s="37">
        <v>0</v>
      </c>
      <c r="E68" s="37">
        <v>0</v>
      </c>
      <c r="F68" s="37">
        <f>Expenses816171819[[#This Row],[ESTIMATED]]-Expenses816171819[[#This Row],[ACTUAL]]</f>
        <v>0</v>
      </c>
    </row>
    <row r="69" spans="2:6" ht="27" customHeight="1" x14ac:dyDescent="0.35">
      <c r="B69" s="38" t="s">
        <v>60</v>
      </c>
      <c r="C69" s="39" t="s">
        <v>58</v>
      </c>
      <c r="D69" s="37"/>
      <c r="E69" s="37"/>
      <c r="F69" s="37">
        <f>Expenses816171819[[#This Row],[ESTIMATED]]-Expenses816171819[[#This Row],[ACTUAL]]</f>
        <v>0</v>
      </c>
    </row>
    <row r="70" spans="2:6" ht="27" customHeight="1" x14ac:dyDescent="0.35">
      <c r="B70" s="25" t="str">
        <f>CONCATENATE("Total ",B66)</f>
        <v>Total Gifts &amp; Donations</v>
      </c>
      <c r="C70" s="40" t="s">
        <v>21</v>
      </c>
      <c r="D70" s="32">
        <f>SUBTOTAL(109,Expenses816171819[ESTIMATED])</f>
        <v>0</v>
      </c>
      <c r="E70" s="32">
        <f>SUBTOTAL(109,Expenses816171819[ACTUAL])</f>
        <v>0</v>
      </c>
      <c r="F70" s="32">
        <f>SUBTOTAL(109,Expenses816171819[DIFFERENCE])</f>
        <v>0</v>
      </c>
    </row>
    <row r="71" spans="2:6" ht="27" customHeight="1" x14ac:dyDescent="0.35">
      <c r="B71" s="53"/>
    </row>
    <row r="72" spans="2:6" ht="27" customHeight="1" x14ac:dyDescent="0.35">
      <c r="B72" s="51" t="s">
        <v>61</v>
      </c>
      <c r="C72" s="48"/>
      <c r="D72" s="18"/>
      <c r="E72" s="18"/>
    </row>
    <row r="73" spans="2:6" ht="27" customHeight="1" x14ac:dyDescent="0.35">
      <c r="B73" s="52" t="s">
        <v>16</v>
      </c>
      <c r="C73" s="14" t="s">
        <v>23</v>
      </c>
      <c r="D73" s="14" t="s">
        <v>4</v>
      </c>
      <c r="E73" s="14" t="s">
        <v>5</v>
      </c>
      <c r="F73" s="14" t="s">
        <v>7</v>
      </c>
    </row>
    <row r="74" spans="2:6" ht="27" customHeight="1" x14ac:dyDescent="0.35">
      <c r="B74" s="38" t="s">
        <v>62</v>
      </c>
      <c r="C74" s="39" t="s">
        <v>61</v>
      </c>
      <c r="D74" s="37"/>
      <c r="E74" s="37"/>
      <c r="F74" s="37">
        <f>Expenses816171820[[#This Row],[ESTIMATED]]-Expenses816171820[[#This Row],[ACTUAL]]</f>
        <v>0</v>
      </c>
    </row>
    <row r="75" spans="2:6" ht="27" customHeight="1" x14ac:dyDescent="0.35">
      <c r="B75" s="38" t="s">
        <v>63</v>
      </c>
      <c r="C75" s="39" t="s">
        <v>61</v>
      </c>
      <c r="D75" s="37"/>
      <c r="E75" s="37"/>
      <c r="F75" s="37">
        <f>Expenses816171820[[#This Row],[ESTIMATED]]-Expenses816171820[[#This Row],[ACTUAL]]</f>
        <v>0</v>
      </c>
    </row>
    <row r="76" spans="2:6" ht="27" customHeight="1" x14ac:dyDescent="0.35">
      <c r="B76" s="38" t="s">
        <v>64</v>
      </c>
      <c r="C76" s="39" t="s">
        <v>61</v>
      </c>
      <c r="D76" s="37"/>
      <c r="E76" s="37"/>
      <c r="F76" s="37">
        <f>Expenses816171820[[#This Row],[ESTIMATED]]-Expenses816171820[[#This Row],[ACTUAL]]</f>
        <v>0</v>
      </c>
    </row>
    <row r="77" spans="2:6" ht="27" customHeight="1" x14ac:dyDescent="0.35">
      <c r="B77" s="38" t="s">
        <v>65</v>
      </c>
      <c r="C77" s="39" t="s">
        <v>61</v>
      </c>
      <c r="D77" s="37"/>
      <c r="E77" s="37"/>
      <c r="F77" s="37">
        <f>Expenses816171820[[#This Row],[ESTIMATED]]-Expenses816171820[[#This Row],[ACTUAL]]</f>
        <v>0</v>
      </c>
    </row>
    <row r="78" spans="2:6" ht="27" customHeight="1" x14ac:dyDescent="0.35">
      <c r="B78" s="38" t="s">
        <v>66</v>
      </c>
      <c r="C78" s="39" t="s">
        <v>61</v>
      </c>
      <c r="D78" s="37"/>
      <c r="E78" s="37"/>
      <c r="F78" s="37">
        <f>Expenses816171820[[#This Row],[ESTIMATED]]-Expenses816171820[[#This Row],[ACTUAL]]</f>
        <v>0</v>
      </c>
    </row>
    <row r="79" spans="2:6" ht="27" customHeight="1" x14ac:dyDescent="0.35">
      <c r="B79" s="25" t="str">
        <f>CONCATENATE("Total ",B72)</f>
        <v>Total Investments</v>
      </c>
      <c r="C79" s="40" t="s">
        <v>21</v>
      </c>
      <c r="D79" s="32">
        <f>SUBTOTAL(109,Expenses816171820[ESTIMATED])</f>
        <v>0</v>
      </c>
      <c r="E79" s="32">
        <f>SUBTOTAL(109,Expenses816171820[ACTUAL])</f>
        <v>0</v>
      </c>
      <c r="F79" s="32">
        <f>SUBTOTAL(109,Expenses816171820[DIFFERENCE])</f>
        <v>0</v>
      </c>
    </row>
    <row r="80" spans="2:6" ht="27" customHeight="1" x14ac:dyDescent="0.35">
      <c r="B80" s="53"/>
    </row>
    <row r="81" spans="2:6" ht="27" customHeight="1" x14ac:dyDescent="0.35">
      <c r="B81" s="51" t="s">
        <v>67</v>
      </c>
      <c r="C81" s="48"/>
      <c r="D81" s="18"/>
      <c r="E81" s="18"/>
    </row>
    <row r="82" spans="2:6" ht="27" customHeight="1" x14ac:dyDescent="0.35">
      <c r="B82" s="52" t="s">
        <v>16</v>
      </c>
      <c r="C82" s="14" t="s">
        <v>23</v>
      </c>
      <c r="D82" s="14" t="s">
        <v>4</v>
      </c>
      <c r="E82" s="14" t="s">
        <v>5</v>
      </c>
      <c r="F82" s="14" t="s">
        <v>7</v>
      </c>
    </row>
    <row r="83" spans="2:6" ht="27" customHeight="1" x14ac:dyDescent="0.35">
      <c r="B83" s="38" t="s">
        <v>68</v>
      </c>
      <c r="C83" s="39" t="s">
        <v>67</v>
      </c>
      <c r="D83" s="37">
        <v>36.67</v>
      </c>
      <c r="E83" s="37">
        <v>36.67</v>
      </c>
      <c r="F83" s="37">
        <f>Expenses81617182021[[#This Row],[ESTIMATED]]-Expenses81617182021[[#This Row],[ACTUAL]]</f>
        <v>0</v>
      </c>
    </row>
    <row r="84" spans="2:6" ht="27" customHeight="1" x14ac:dyDescent="0.35">
      <c r="B84" s="38" t="s">
        <v>69</v>
      </c>
      <c r="C84" s="39" t="s">
        <v>67</v>
      </c>
      <c r="D84" s="37">
        <v>120</v>
      </c>
      <c r="E84" s="37">
        <v>120</v>
      </c>
      <c r="F84" s="37">
        <f>Expenses81617182021[[#This Row],[ESTIMATED]]-Expenses81617182021[[#This Row],[ACTUAL]]</f>
        <v>0</v>
      </c>
    </row>
    <row r="85" spans="2:6" ht="27" customHeight="1" x14ac:dyDescent="0.35">
      <c r="B85" s="38" t="s">
        <v>70</v>
      </c>
      <c r="C85" s="39" t="s">
        <v>67</v>
      </c>
      <c r="D85" s="37">
        <v>56.5</v>
      </c>
      <c r="E85" s="37">
        <v>56.5</v>
      </c>
      <c r="F85" s="37">
        <f>Expenses81617182021[[#This Row],[ESTIMATED]]-Expenses81617182021[[#This Row],[ACTUAL]]</f>
        <v>0</v>
      </c>
    </row>
    <row r="86" spans="2:6" ht="27" customHeight="1" x14ac:dyDescent="0.35">
      <c r="B86" s="38" t="s">
        <v>71</v>
      </c>
      <c r="C86" s="39" t="s">
        <v>67</v>
      </c>
      <c r="D86" s="37">
        <v>50</v>
      </c>
      <c r="E86" s="37">
        <v>50</v>
      </c>
      <c r="F86" s="37">
        <f>Expenses81617182021[[#This Row],[ESTIMATED]]-Expenses81617182021[[#This Row],[ACTUAL]]</f>
        <v>0</v>
      </c>
    </row>
    <row r="87" spans="2:6" ht="27" customHeight="1" x14ac:dyDescent="0.35">
      <c r="B87" s="38" t="s">
        <v>72</v>
      </c>
      <c r="C87" s="39" t="s">
        <v>67</v>
      </c>
      <c r="D87" s="37">
        <v>775.77</v>
      </c>
      <c r="E87" s="37">
        <v>775.77</v>
      </c>
      <c r="F87" s="37">
        <f>Expenses81617182021[[#This Row],[ESTIMATED]]-Expenses81617182021[[#This Row],[ACTUAL]]</f>
        <v>0</v>
      </c>
    </row>
    <row r="88" spans="2:6" ht="27" customHeight="1" x14ac:dyDescent="0.35">
      <c r="B88" s="25" t="str">
        <f>CONCATENATE("Total ",B81)</f>
        <v>Total Bills &amp; Utilities</v>
      </c>
      <c r="C88" s="40" t="s">
        <v>21</v>
      </c>
      <c r="D88" s="32">
        <f>SUBTOTAL(109,Expenses81617182021[ESTIMATED])</f>
        <v>1038.94</v>
      </c>
      <c r="E88" s="32">
        <f>SUBTOTAL(109,Expenses81617182021[ACTUAL])</f>
        <v>1038.94</v>
      </c>
      <c r="F88" s="32">
        <f>SUBTOTAL(109,Expenses81617182021[DIFFERENCE])</f>
        <v>0</v>
      </c>
    </row>
    <row r="89" spans="2:6" ht="27" customHeight="1" x14ac:dyDescent="0.35">
      <c r="B89" s="53"/>
    </row>
    <row r="90" spans="2:6" ht="27" customHeight="1" x14ac:dyDescent="0.35">
      <c r="B90" s="51" t="s">
        <v>73</v>
      </c>
      <c r="C90" s="48"/>
      <c r="D90" s="18"/>
      <c r="E90" s="18"/>
    </row>
    <row r="91" spans="2:6" ht="27" customHeight="1" x14ac:dyDescent="0.35">
      <c r="B91" s="52" t="s">
        <v>16</v>
      </c>
      <c r="C91" s="14" t="s">
        <v>23</v>
      </c>
      <c r="D91" s="14" t="s">
        <v>4</v>
      </c>
      <c r="E91" s="14" t="s">
        <v>5</v>
      </c>
      <c r="F91" s="14" t="s">
        <v>7</v>
      </c>
    </row>
    <row r="92" spans="2:6" ht="27" customHeight="1" x14ac:dyDescent="0.35">
      <c r="B92" s="38" t="s">
        <v>74</v>
      </c>
      <c r="C92" s="39" t="s">
        <v>73</v>
      </c>
      <c r="D92" s="37">
        <v>300</v>
      </c>
      <c r="E92" s="37">
        <v>300</v>
      </c>
      <c r="F92" s="37">
        <f>Expenses8161718202122[[#This Row],[ESTIMATED]]-Expenses8161718202122[[#This Row],[ACTUAL]]</f>
        <v>0</v>
      </c>
    </row>
    <row r="93" spans="2:6" ht="27" customHeight="1" x14ac:dyDescent="0.35">
      <c r="B93" s="38" t="s">
        <v>75</v>
      </c>
      <c r="C93" s="39" t="s">
        <v>73</v>
      </c>
      <c r="D93" s="37"/>
      <c r="E93" s="37"/>
      <c r="F93" s="37">
        <f>Expenses8161718202122[[#This Row],[ESTIMATED]]-Expenses8161718202122[[#This Row],[ACTUAL]]</f>
        <v>0</v>
      </c>
    </row>
    <row r="94" spans="2:6" ht="27" customHeight="1" x14ac:dyDescent="0.35">
      <c r="B94" s="38" t="s">
        <v>76</v>
      </c>
      <c r="C94" s="39" t="s">
        <v>73</v>
      </c>
      <c r="D94" s="37">
        <v>50</v>
      </c>
      <c r="E94" s="37">
        <v>50</v>
      </c>
      <c r="F94" s="37">
        <f>Expenses8161718202122[[#This Row],[ESTIMATED]]-Expenses8161718202122[[#This Row],[ACTUAL]]</f>
        <v>0</v>
      </c>
    </row>
    <row r="95" spans="2:6" ht="27" customHeight="1" x14ac:dyDescent="0.35">
      <c r="B95" s="38" t="s">
        <v>77</v>
      </c>
      <c r="C95" s="39" t="s">
        <v>73</v>
      </c>
      <c r="D95" s="37">
        <v>211.77</v>
      </c>
      <c r="E95" s="37">
        <v>211.77</v>
      </c>
      <c r="F95" s="37">
        <f>Expenses8161718202122[[#This Row],[ESTIMATED]]-Expenses8161718202122[[#This Row],[ACTUAL]]</f>
        <v>0</v>
      </c>
    </row>
    <row r="96" spans="2:6" ht="27" customHeight="1" x14ac:dyDescent="0.35">
      <c r="B96" s="38" t="s">
        <v>78</v>
      </c>
      <c r="C96" s="39" t="s">
        <v>73</v>
      </c>
      <c r="D96" s="37">
        <v>120.21</v>
      </c>
      <c r="E96" s="37">
        <v>120.21</v>
      </c>
      <c r="F96" s="37">
        <f>Expenses8161718202122[[#This Row],[ESTIMATED]]-Expenses8161718202122[[#This Row],[ACTUAL]]</f>
        <v>0</v>
      </c>
    </row>
    <row r="97" spans="2:6" ht="27" customHeight="1" x14ac:dyDescent="0.35">
      <c r="B97" s="25" t="str">
        <f>CONCATENATE("Total ",B90)</f>
        <v>Total Auto &amp; Transportation</v>
      </c>
      <c r="C97" s="40" t="s">
        <v>21</v>
      </c>
      <c r="D97" s="32">
        <f>SUBTOTAL(109,Expenses8161718202122[ESTIMATED])</f>
        <v>681.98</v>
      </c>
      <c r="E97" s="32">
        <f>SUBTOTAL(109,Expenses8161718202122[ACTUAL])</f>
        <v>681.98</v>
      </c>
      <c r="F97" s="32">
        <f>SUBTOTAL(109,Expenses8161718202122[DIFFERENCE])</f>
        <v>0</v>
      </c>
    </row>
    <row r="98" spans="2:6" ht="27" customHeight="1" x14ac:dyDescent="0.35">
      <c r="B98" s="53"/>
    </row>
    <row r="99" spans="2:6" ht="27" customHeight="1" x14ac:dyDescent="0.35">
      <c r="B99" s="51" t="s">
        <v>79</v>
      </c>
      <c r="C99" s="48"/>
      <c r="D99" s="18"/>
      <c r="E99" s="18"/>
    </row>
    <row r="100" spans="2:6" ht="27" customHeight="1" x14ac:dyDescent="0.35">
      <c r="B100" s="52" t="s">
        <v>16</v>
      </c>
      <c r="C100" s="14" t="s">
        <v>23</v>
      </c>
      <c r="D100" s="14" t="s">
        <v>4</v>
      </c>
      <c r="E100" s="14" t="s">
        <v>5</v>
      </c>
      <c r="F100" s="14" t="s">
        <v>7</v>
      </c>
    </row>
    <row r="101" spans="2:6" ht="27" customHeight="1" x14ac:dyDescent="0.35">
      <c r="B101" s="38" t="s">
        <v>80</v>
      </c>
      <c r="C101" s="39" t="s">
        <v>79</v>
      </c>
      <c r="D101" s="37">
        <v>0</v>
      </c>
      <c r="E101" s="37">
        <v>0</v>
      </c>
      <c r="F101" s="37">
        <f>Expenses816171820212223[[#This Row],[ESTIMATED]]-Expenses816171820212223[[#This Row],[ACTUAL]]</f>
        <v>0</v>
      </c>
    </row>
    <row r="102" spans="2:6" ht="27" customHeight="1" x14ac:dyDescent="0.35">
      <c r="B102" s="38" t="s">
        <v>81</v>
      </c>
      <c r="C102" s="39" t="s">
        <v>79</v>
      </c>
      <c r="D102" s="37"/>
      <c r="E102" s="37"/>
      <c r="F102" s="37">
        <f>Expenses816171820212223[[#This Row],[ESTIMATED]]-Expenses816171820212223[[#This Row],[ACTUAL]]</f>
        <v>0</v>
      </c>
    </row>
    <row r="103" spans="2:6" ht="27" customHeight="1" x14ac:dyDescent="0.35">
      <c r="B103" s="38" t="s">
        <v>82</v>
      </c>
      <c r="C103" s="39" t="s">
        <v>79</v>
      </c>
      <c r="D103" s="37"/>
      <c r="E103" s="37"/>
      <c r="F103" s="37">
        <f>Expenses816171820212223[[#This Row],[ESTIMATED]]-Expenses816171820212223[[#This Row],[ACTUAL]]</f>
        <v>0</v>
      </c>
    </row>
    <row r="104" spans="2:6" ht="27" customHeight="1" x14ac:dyDescent="0.35">
      <c r="B104" s="38" t="s">
        <v>83</v>
      </c>
      <c r="C104" s="39" t="s">
        <v>79</v>
      </c>
      <c r="D104" s="37"/>
      <c r="E104" s="37"/>
      <c r="F104" s="37">
        <f>Expenses816171820212223[[#This Row],[ESTIMATED]]-Expenses816171820212223[[#This Row],[ACTUAL]]</f>
        <v>0</v>
      </c>
    </row>
    <row r="105" spans="2:6" ht="27" customHeight="1" x14ac:dyDescent="0.35">
      <c r="B105" s="25" t="str">
        <f>CONCATENATE("Total ",B99)</f>
        <v>Total Travel</v>
      </c>
      <c r="C105" s="40" t="s">
        <v>21</v>
      </c>
      <c r="D105" s="32">
        <f>SUBTOTAL(109,Expenses816171820212223[ESTIMATED])</f>
        <v>0</v>
      </c>
      <c r="E105" s="32">
        <f>SUBTOTAL(109,Expenses816171820212223[ACTUAL])</f>
        <v>0</v>
      </c>
      <c r="F105" s="32">
        <f>SUBTOTAL(109,Expenses816171820212223[DIFFERENCE])</f>
        <v>0</v>
      </c>
    </row>
    <row r="106" spans="2:6" ht="27" customHeight="1" x14ac:dyDescent="0.35">
      <c r="B106" s="53"/>
    </row>
    <row r="107" spans="2:6" ht="27" customHeight="1" x14ac:dyDescent="0.35">
      <c r="B107" s="51" t="s">
        <v>84</v>
      </c>
      <c r="C107" s="48"/>
      <c r="D107" s="18"/>
      <c r="E107" s="18"/>
    </row>
    <row r="108" spans="2:6" ht="27" customHeight="1" x14ac:dyDescent="0.35">
      <c r="B108" s="52" t="s">
        <v>16</v>
      </c>
      <c r="C108" s="14" t="s">
        <v>23</v>
      </c>
      <c r="D108" s="14" t="s">
        <v>4</v>
      </c>
      <c r="E108" s="14" t="s">
        <v>5</v>
      </c>
      <c r="F108" s="14" t="s">
        <v>7</v>
      </c>
    </row>
    <row r="109" spans="2:6" ht="27" customHeight="1" x14ac:dyDescent="0.35">
      <c r="B109" s="38"/>
      <c r="C109" s="39" t="s">
        <v>84</v>
      </c>
      <c r="D109" s="37"/>
      <c r="E109" s="37"/>
      <c r="F109" s="37">
        <f>Expenses81617182021222324[[#This Row],[ESTIMATED]]-Expenses81617182021222324[[#This Row],[ACTUAL]]</f>
        <v>0</v>
      </c>
    </row>
    <row r="110" spans="2:6" ht="27" customHeight="1" x14ac:dyDescent="0.35">
      <c r="B110" s="38" t="s">
        <v>85</v>
      </c>
      <c r="C110" s="39" t="s">
        <v>84</v>
      </c>
      <c r="D110" s="37"/>
      <c r="E110" s="37"/>
      <c r="F110" s="37">
        <f>Expenses81617182021222324[[#This Row],[ESTIMATED]]-Expenses81617182021222324[[#This Row],[ACTUAL]]</f>
        <v>0</v>
      </c>
    </row>
    <row r="111" spans="2:6" ht="27" customHeight="1" x14ac:dyDescent="0.35">
      <c r="B111" s="38" t="s">
        <v>86</v>
      </c>
      <c r="C111" s="39" t="s">
        <v>84</v>
      </c>
      <c r="D111" s="37"/>
      <c r="E111" s="37"/>
      <c r="F111" s="37">
        <f>Expenses81617182021222324[[#This Row],[ESTIMATED]]-Expenses81617182021222324[[#This Row],[ACTUAL]]</f>
        <v>0</v>
      </c>
    </row>
    <row r="112" spans="2:6" ht="27" customHeight="1" x14ac:dyDescent="0.35">
      <c r="B112" s="38" t="s">
        <v>87</v>
      </c>
      <c r="C112" s="39" t="s">
        <v>84</v>
      </c>
      <c r="D112" s="37"/>
      <c r="E112" s="37"/>
      <c r="F112" s="37">
        <f>Expenses81617182021222324[[#This Row],[ESTIMATED]]-Expenses81617182021222324[[#This Row],[ACTUAL]]</f>
        <v>0</v>
      </c>
    </row>
    <row r="113" spans="2:6" ht="27" customHeight="1" x14ac:dyDescent="0.35">
      <c r="B113" s="38" t="s">
        <v>88</v>
      </c>
      <c r="C113" s="39" t="s">
        <v>84</v>
      </c>
      <c r="D113" s="37"/>
      <c r="E113" s="37"/>
      <c r="F113" s="37">
        <f>Expenses81617182021222324[[#This Row],[ESTIMATED]]-Expenses81617182021222324[[#This Row],[ACTUAL]]</f>
        <v>0</v>
      </c>
    </row>
    <row r="114" spans="2:6" ht="27" customHeight="1" x14ac:dyDescent="0.35">
      <c r="B114" s="38" t="s">
        <v>89</v>
      </c>
      <c r="C114" s="39" t="s">
        <v>84</v>
      </c>
      <c r="D114" s="37"/>
      <c r="E114" s="37"/>
      <c r="F114" s="37">
        <f>Expenses81617182021222324[[#This Row],[ESTIMATED]]-Expenses81617182021222324[[#This Row],[ACTUAL]]</f>
        <v>0</v>
      </c>
    </row>
    <row r="115" spans="2:6" ht="27" customHeight="1" x14ac:dyDescent="0.35">
      <c r="B115" s="25" t="str">
        <f>CONCATENATE("Total ",B107)</f>
        <v>Total Fees &amp; Charges</v>
      </c>
      <c r="C115" s="40" t="s">
        <v>21</v>
      </c>
      <c r="D115" s="32">
        <f>SUBTOTAL(109,Expenses81617182021222324[ESTIMATED])</f>
        <v>0</v>
      </c>
      <c r="E115" s="32">
        <f>SUBTOTAL(109,Expenses81617182021222324[ACTUAL])</f>
        <v>0</v>
      </c>
      <c r="F115" s="32">
        <f>SUBTOTAL(109,Expenses81617182021222324[DIFFERENCE])</f>
        <v>0</v>
      </c>
    </row>
  </sheetData>
  <mergeCells count="3">
    <mergeCell ref="B1:E1"/>
    <mergeCell ref="B2:E2"/>
    <mergeCell ref="G1:S2"/>
  </mergeCells>
  <conditionalFormatting sqref="E11">
    <cfRule type="cellIs" dxfId="211" priority="15" operator="lessThan">
      <formula>0</formula>
    </cfRule>
  </conditionalFormatting>
  <conditionalFormatting sqref="F18">
    <cfRule type="cellIs" dxfId="210" priority="13" operator="lessThan">
      <formula>0</formula>
    </cfRule>
  </conditionalFormatting>
  <conditionalFormatting sqref="F27">
    <cfRule type="cellIs" dxfId="209" priority="11" operator="lessThan">
      <formula>0</formula>
    </cfRule>
  </conditionalFormatting>
  <conditionalFormatting sqref="F38">
    <cfRule type="cellIs" dxfId="208" priority="10" operator="lessThan">
      <formula>0</formula>
    </cfRule>
  </conditionalFormatting>
  <conditionalFormatting sqref="F45">
    <cfRule type="cellIs" dxfId="207" priority="9" operator="lessThan">
      <formula>0</formula>
    </cfRule>
  </conditionalFormatting>
  <conditionalFormatting sqref="F55">
    <cfRule type="cellIs" dxfId="206" priority="8" operator="lessThan">
      <formula>0</formula>
    </cfRule>
  </conditionalFormatting>
  <conditionalFormatting sqref="F64">
    <cfRule type="cellIs" dxfId="205" priority="7" operator="lessThan">
      <formula>0</formula>
    </cfRule>
  </conditionalFormatting>
  <conditionalFormatting sqref="F70">
    <cfRule type="cellIs" dxfId="204" priority="6" operator="lessThan">
      <formula>0</formula>
    </cfRule>
  </conditionalFormatting>
  <conditionalFormatting sqref="F79">
    <cfRule type="cellIs" dxfId="203" priority="5" operator="lessThan">
      <formula>0</formula>
    </cfRule>
  </conditionalFormatting>
  <conditionalFormatting sqref="F88">
    <cfRule type="cellIs" dxfId="202" priority="4" operator="lessThan">
      <formula>0</formula>
    </cfRule>
  </conditionalFormatting>
  <conditionalFormatting sqref="F97">
    <cfRule type="cellIs" dxfId="201" priority="3" operator="lessThan">
      <formula>0</formula>
    </cfRule>
  </conditionalFormatting>
  <conditionalFormatting sqref="F105">
    <cfRule type="cellIs" dxfId="200" priority="2" operator="lessThan">
      <formula>0</formula>
    </cfRule>
  </conditionalFormatting>
  <conditionalFormatting sqref="F115">
    <cfRule type="cellIs" dxfId="199" priority="1" operator="lessThan">
      <formula>0</formula>
    </cfRule>
  </conditionalFormatting>
  <dataValidations disablePrompts="1" count="2">
    <dataValidation allowBlank="1" showInputMessage="1" showErrorMessage="1" errorTitle="ALERT" error="This cell is automatically populated and should not be overwitten. Overwriting this cell would break calculations in this worksheet." sqref="E7:E10 F15:F17 F22:F26 F31:F37 F42:F44 F49:F54 F59:F63 F68:F69 F74:F78 F83:F87 F92:F96 F101:F104 F109:F114" xr:uid="{C4140927-DF14-4508-B5A6-359EFDB9F840}"/>
    <dataValidation type="custom" allowBlank="1" showInputMessage="1" showErrorMessage="1" errorTitle="ALERT" error="This cell is automatically populated and should not be overwitten. Overwriting this cell would break calculations in this worksheet." sqref="F7:F10" xr:uid="{ED78A4E0-8B23-4F63-BD13-74A6042F6558}">
      <formula1>LEN(F7)=""</formula1>
    </dataValidation>
  </dataValidations>
  <pageMargins left="0.7" right="0.7" top="0.75" bottom="0.75" header="0.3" footer="0.3"/>
  <pageSetup orientation="portrait" r:id="rId1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9" id="{E483E835-B8DB-4378-BC42-BFA505FBDFFE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F7:F10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D4625-21FC-4480-AC47-E7FFC342BED6}">
  <sheetPr>
    <tabColor theme="0" tint="-0.249977111117893"/>
  </sheetPr>
  <dimension ref="A2:N80"/>
  <sheetViews>
    <sheetView topLeftCell="A54" workbookViewId="0">
      <selection activeCell="J64" sqref="J64:K69"/>
    </sheetView>
  </sheetViews>
  <sheetFormatPr defaultRowHeight="17.25" x14ac:dyDescent="0.35"/>
  <cols>
    <col min="1" max="1" width="20.625" bestFit="1" customWidth="1"/>
    <col min="2" max="2" width="21.75" bestFit="1" customWidth="1"/>
    <col min="3" max="3" width="22.625" bestFit="1" customWidth="1"/>
    <col min="9" max="9" width="20.625" bestFit="1" customWidth="1"/>
    <col min="10" max="10" width="21.75" bestFit="1" customWidth="1"/>
    <col min="12" max="12" width="23.25" bestFit="1" customWidth="1"/>
  </cols>
  <sheetData>
    <row r="2" spans="1:14" x14ac:dyDescent="0.35">
      <c r="A2" s="14" t="s">
        <v>90</v>
      </c>
      <c r="B2" s="14" t="s">
        <v>91</v>
      </c>
      <c r="C2" s="14" t="s">
        <v>92</v>
      </c>
    </row>
    <row r="3" spans="1:14" x14ac:dyDescent="0.35">
      <c r="A3" s="31" t="s">
        <v>21</v>
      </c>
      <c r="B3" s="31" t="s">
        <v>8</v>
      </c>
      <c r="C3" s="31" t="s">
        <v>93</v>
      </c>
    </row>
    <row r="4" spans="1:14" x14ac:dyDescent="0.35">
      <c r="A4" s="31" t="s">
        <v>21</v>
      </c>
      <c r="B4" s="31" t="s">
        <v>94</v>
      </c>
      <c r="C4" s="31" t="s">
        <v>93</v>
      </c>
    </row>
    <row r="5" spans="1:14" x14ac:dyDescent="0.35">
      <c r="A5" s="31" t="s">
        <v>21</v>
      </c>
      <c r="B5" s="31" t="s">
        <v>9</v>
      </c>
      <c r="C5" s="31" t="s">
        <v>93</v>
      </c>
    </row>
    <row r="6" spans="1:14" x14ac:dyDescent="0.35">
      <c r="A6" s="31" t="s">
        <v>21</v>
      </c>
      <c r="B6" s="31" t="s">
        <v>10</v>
      </c>
      <c r="C6" s="31" t="s">
        <v>93</v>
      </c>
    </row>
    <row r="7" spans="1:14" x14ac:dyDescent="0.35">
      <c r="A7" s="31" t="s">
        <v>21</v>
      </c>
      <c r="B7" s="31" t="s">
        <v>11</v>
      </c>
      <c r="C7" s="31" t="s">
        <v>93</v>
      </c>
    </row>
    <row r="8" spans="1:14" x14ac:dyDescent="0.35">
      <c r="A8" s="31" t="s">
        <v>21</v>
      </c>
      <c r="B8" s="31" t="s">
        <v>95</v>
      </c>
      <c r="C8" s="31" t="s">
        <v>93</v>
      </c>
    </row>
    <row r="9" spans="1:14" x14ac:dyDescent="0.35">
      <c r="A9" s="31" t="s">
        <v>21</v>
      </c>
      <c r="B9" s="31" t="s">
        <v>96</v>
      </c>
      <c r="C9" s="31" t="s">
        <v>93</v>
      </c>
    </row>
    <row r="10" spans="1:14" x14ac:dyDescent="0.35">
      <c r="A10" s="31" t="s">
        <v>97</v>
      </c>
      <c r="B10" s="31" t="s">
        <v>98</v>
      </c>
      <c r="C10" s="31" t="s">
        <v>99</v>
      </c>
    </row>
    <row r="11" spans="1:14" x14ac:dyDescent="0.35">
      <c r="A11" s="31" t="s">
        <v>97</v>
      </c>
      <c r="B11" s="31" t="s">
        <v>100</v>
      </c>
      <c r="C11" s="31" t="s">
        <v>99</v>
      </c>
    </row>
    <row r="12" spans="1:14" x14ac:dyDescent="0.35">
      <c r="A12" s="31" t="s">
        <v>97</v>
      </c>
      <c r="B12" s="31" t="s">
        <v>101</v>
      </c>
      <c r="C12" s="31" t="s">
        <v>99</v>
      </c>
    </row>
    <row r="13" spans="1:14" x14ac:dyDescent="0.35">
      <c r="A13" s="31" t="s">
        <v>97</v>
      </c>
      <c r="B13" s="31" t="s">
        <v>102</v>
      </c>
      <c r="C13" s="31" t="s">
        <v>99</v>
      </c>
    </row>
    <row r="14" spans="1:14" x14ac:dyDescent="0.35">
      <c r="A14" s="31" t="s">
        <v>22</v>
      </c>
      <c r="B14" s="31" t="s">
        <v>24</v>
      </c>
      <c r="C14" s="31" t="s">
        <v>99</v>
      </c>
      <c r="J14" s="34"/>
      <c r="K14" s="33"/>
      <c r="N14" s="30"/>
    </row>
    <row r="15" spans="1:14" x14ac:dyDescent="0.35">
      <c r="A15" s="31" t="s">
        <v>22</v>
      </c>
      <c r="B15" s="31" t="s">
        <v>25</v>
      </c>
      <c r="C15" s="31" t="s">
        <v>99</v>
      </c>
      <c r="J15" s="34"/>
      <c r="K15" s="33"/>
      <c r="N15" s="30"/>
    </row>
    <row r="16" spans="1:14" x14ac:dyDescent="0.35">
      <c r="A16" s="31" t="s">
        <v>22</v>
      </c>
      <c r="B16" s="31" t="s">
        <v>26</v>
      </c>
      <c r="C16" s="31" t="s">
        <v>99</v>
      </c>
      <c r="J16" s="34"/>
      <c r="K16" s="33"/>
      <c r="N16" s="30"/>
    </row>
    <row r="17" spans="1:14" x14ac:dyDescent="0.35">
      <c r="A17" s="31" t="s">
        <v>27</v>
      </c>
      <c r="B17" s="31" t="s">
        <v>28</v>
      </c>
      <c r="C17" s="31" t="s">
        <v>99</v>
      </c>
      <c r="N17" s="30"/>
    </row>
    <row r="18" spans="1:14" x14ac:dyDescent="0.35">
      <c r="A18" s="31" t="s">
        <v>27</v>
      </c>
      <c r="B18" s="31" t="s">
        <v>29</v>
      </c>
      <c r="C18" s="31" t="s">
        <v>99</v>
      </c>
      <c r="N18" s="30"/>
    </row>
    <row r="19" spans="1:14" x14ac:dyDescent="0.35">
      <c r="A19" s="31" t="s">
        <v>27</v>
      </c>
      <c r="B19" s="31" t="s">
        <v>30</v>
      </c>
      <c r="C19" s="31" t="s">
        <v>99</v>
      </c>
      <c r="L19" s="30"/>
      <c r="N19" s="30"/>
    </row>
    <row r="20" spans="1:14" x14ac:dyDescent="0.35">
      <c r="A20" s="31" t="s">
        <v>27</v>
      </c>
      <c r="B20" s="31" t="s">
        <v>103</v>
      </c>
      <c r="C20" s="31" t="s">
        <v>99</v>
      </c>
      <c r="L20" s="30"/>
      <c r="N20" s="30"/>
    </row>
    <row r="21" spans="1:14" x14ac:dyDescent="0.35">
      <c r="A21" s="31" t="s">
        <v>27</v>
      </c>
      <c r="B21" s="31" t="s">
        <v>32</v>
      </c>
      <c r="C21" s="31" t="s">
        <v>99</v>
      </c>
      <c r="L21" s="30"/>
      <c r="N21" s="30"/>
    </row>
    <row r="22" spans="1:14" x14ac:dyDescent="0.35">
      <c r="A22" s="31" t="s">
        <v>41</v>
      </c>
      <c r="B22" s="31" t="s">
        <v>42</v>
      </c>
      <c r="C22" s="31" t="s">
        <v>99</v>
      </c>
      <c r="L22" s="30"/>
      <c r="N22" s="30"/>
    </row>
    <row r="23" spans="1:14" x14ac:dyDescent="0.35">
      <c r="A23" s="31" t="s">
        <v>41</v>
      </c>
      <c r="B23" s="31" t="s">
        <v>43</v>
      </c>
      <c r="C23" s="31" t="s">
        <v>99</v>
      </c>
      <c r="L23" s="30"/>
      <c r="N23" s="30"/>
    </row>
    <row r="24" spans="1:14" x14ac:dyDescent="0.35">
      <c r="A24" s="31" t="s">
        <v>41</v>
      </c>
      <c r="B24" s="31" t="s">
        <v>44</v>
      </c>
      <c r="C24" s="31" t="s">
        <v>99</v>
      </c>
      <c r="L24" s="30"/>
      <c r="N24" s="30"/>
    </row>
    <row r="25" spans="1:14" x14ac:dyDescent="0.35">
      <c r="A25" s="31" t="s">
        <v>33</v>
      </c>
      <c r="B25" s="31" t="s">
        <v>34</v>
      </c>
      <c r="C25" s="31" t="s">
        <v>99</v>
      </c>
      <c r="L25" s="30"/>
      <c r="N25" s="30"/>
    </row>
    <row r="26" spans="1:14" x14ac:dyDescent="0.35">
      <c r="A26" s="31" t="s">
        <v>33</v>
      </c>
      <c r="B26" s="31" t="s">
        <v>35</v>
      </c>
      <c r="C26" s="31" t="s">
        <v>99</v>
      </c>
      <c r="L26" s="30"/>
      <c r="N26" s="30"/>
    </row>
    <row r="27" spans="1:14" x14ac:dyDescent="0.35">
      <c r="A27" s="31" t="s">
        <v>33</v>
      </c>
      <c r="B27" s="31" t="s">
        <v>36</v>
      </c>
      <c r="C27" s="31" t="s">
        <v>99</v>
      </c>
      <c r="L27" s="30"/>
      <c r="N27" s="30"/>
    </row>
    <row r="28" spans="1:14" x14ac:dyDescent="0.35">
      <c r="A28" s="31" t="s">
        <v>33</v>
      </c>
      <c r="B28" s="31" t="s">
        <v>37</v>
      </c>
      <c r="C28" s="31" t="s">
        <v>99</v>
      </c>
      <c r="L28" s="30"/>
    </row>
    <row r="29" spans="1:14" x14ac:dyDescent="0.35">
      <c r="A29" s="31" t="s">
        <v>33</v>
      </c>
      <c r="B29" s="31" t="s">
        <v>104</v>
      </c>
      <c r="C29" s="31" t="s">
        <v>99</v>
      </c>
      <c r="L29" s="30"/>
    </row>
    <row r="30" spans="1:14" x14ac:dyDescent="0.35">
      <c r="A30" s="31" t="s">
        <v>33</v>
      </c>
      <c r="B30" s="31" t="s">
        <v>39</v>
      </c>
      <c r="C30" s="31" t="s">
        <v>99</v>
      </c>
      <c r="L30" s="30"/>
    </row>
    <row r="31" spans="1:14" x14ac:dyDescent="0.35">
      <c r="A31" s="31" t="s">
        <v>33</v>
      </c>
      <c r="B31" s="31" t="s">
        <v>40</v>
      </c>
      <c r="C31" s="31" t="s">
        <v>99</v>
      </c>
      <c r="L31" s="30"/>
    </row>
    <row r="32" spans="1:14" x14ac:dyDescent="0.35">
      <c r="A32" s="31" t="s">
        <v>45</v>
      </c>
      <c r="B32" s="31" t="s">
        <v>46</v>
      </c>
      <c r="C32" s="31" t="s">
        <v>99</v>
      </c>
      <c r="L32" s="30"/>
    </row>
    <row r="33" spans="1:12" x14ac:dyDescent="0.35">
      <c r="A33" s="31" t="s">
        <v>45</v>
      </c>
      <c r="B33" s="31" t="s">
        <v>47</v>
      </c>
      <c r="C33" s="31" t="s">
        <v>99</v>
      </c>
      <c r="L33" s="30"/>
    </row>
    <row r="34" spans="1:12" x14ac:dyDescent="0.35">
      <c r="A34" s="31" t="s">
        <v>45</v>
      </c>
      <c r="B34" s="31" t="s">
        <v>48</v>
      </c>
      <c r="C34" s="31" t="s">
        <v>99</v>
      </c>
      <c r="L34" s="30"/>
    </row>
    <row r="35" spans="1:12" x14ac:dyDescent="0.35">
      <c r="A35" s="31" t="s">
        <v>45</v>
      </c>
      <c r="B35" s="31" t="s">
        <v>49</v>
      </c>
      <c r="C35" s="31" t="s">
        <v>99</v>
      </c>
      <c r="L35" s="30"/>
    </row>
    <row r="36" spans="1:12" x14ac:dyDescent="0.35">
      <c r="A36" s="31" t="s">
        <v>45</v>
      </c>
      <c r="B36" s="31" t="s">
        <v>50</v>
      </c>
      <c r="C36" s="31" t="s">
        <v>99</v>
      </c>
      <c r="L36" s="30"/>
    </row>
    <row r="37" spans="1:12" x14ac:dyDescent="0.35">
      <c r="A37" s="31" t="s">
        <v>45</v>
      </c>
      <c r="B37" s="31" t="s">
        <v>51</v>
      </c>
      <c r="C37" s="31" t="s">
        <v>99</v>
      </c>
      <c r="L37" s="30"/>
    </row>
    <row r="38" spans="1:12" x14ac:dyDescent="0.35">
      <c r="A38" s="31" t="s">
        <v>52</v>
      </c>
      <c r="B38" s="31" t="s">
        <v>53</v>
      </c>
      <c r="C38" s="31" t="s">
        <v>99</v>
      </c>
      <c r="L38" s="30"/>
    </row>
    <row r="39" spans="1:12" x14ac:dyDescent="0.35">
      <c r="A39" s="31" t="s">
        <v>52</v>
      </c>
      <c r="B39" s="31" t="s">
        <v>54</v>
      </c>
      <c r="C39" s="31" t="s">
        <v>99</v>
      </c>
      <c r="L39" s="30"/>
    </row>
    <row r="40" spans="1:12" x14ac:dyDescent="0.35">
      <c r="A40" s="31" t="s">
        <v>52</v>
      </c>
      <c r="B40" s="31" t="s">
        <v>105</v>
      </c>
      <c r="C40" s="31" t="s">
        <v>99</v>
      </c>
      <c r="L40" s="30"/>
    </row>
    <row r="41" spans="1:12" x14ac:dyDescent="0.35">
      <c r="A41" s="31" t="s">
        <v>52</v>
      </c>
      <c r="B41" s="31" t="s">
        <v>56</v>
      </c>
      <c r="C41" s="31" t="s">
        <v>99</v>
      </c>
      <c r="L41" s="30"/>
    </row>
    <row r="42" spans="1:12" x14ac:dyDescent="0.35">
      <c r="A42" s="31" t="s">
        <v>52</v>
      </c>
      <c r="B42" s="31" t="s">
        <v>57</v>
      </c>
      <c r="C42" s="31" t="s">
        <v>99</v>
      </c>
      <c r="L42" s="30"/>
    </row>
    <row r="43" spans="1:12" x14ac:dyDescent="0.35">
      <c r="A43" s="31" t="s">
        <v>58</v>
      </c>
      <c r="B43" s="31" t="s">
        <v>59</v>
      </c>
      <c r="C43" s="31" t="s">
        <v>99</v>
      </c>
      <c r="L43" s="30"/>
    </row>
    <row r="44" spans="1:12" x14ac:dyDescent="0.35">
      <c r="A44" s="31" t="s">
        <v>58</v>
      </c>
      <c r="B44" s="31" t="s">
        <v>60</v>
      </c>
      <c r="C44" s="31" t="s">
        <v>99</v>
      </c>
      <c r="L44" s="30"/>
    </row>
    <row r="45" spans="1:12" x14ac:dyDescent="0.35">
      <c r="A45" s="31" t="s">
        <v>61</v>
      </c>
      <c r="B45" s="31" t="s">
        <v>62</v>
      </c>
      <c r="C45" s="31" t="s">
        <v>99</v>
      </c>
      <c r="L45" s="30"/>
    </row>
    <row r="46" spans="1:12" x14ac:dyDescent="0.35">
      <c r="A46" s="31" t="s">
        <v>61</v>
      </c>
      <c r="B46" s="31" t="s">
        <v>63</v>
      </c>
      <c r="C46" s="31" t="s">
        <v>99</v>
      </c>
      <c r="L46" s="30"/>
    </row>
    <row r="47" spans="1:12" x14ac:dyDescent="0.35">
      <c r="A47" s="31" t="s">
        <v>61</v>
      </c>
      <c r="B47" s="31" t="s">
        <v>64</v>
      </c>
      <c r="C47" s="31" t="s">
        <v>99</v>
      </c>
      <c r="L47" s="30"/>
    </row>
    <row r="48" spans="1:12" x14ac:dyDescent="0.35">
      <c r="A48" s="31" t="s">
        <v>61</v>
      </c>
      <c r="B48" s="31" t="s">
        <v>65</v>
      </c>
      <c r="C48" s="31" t="s">
        <v>99</v>
      </c>
      <c r="L48" s="30"/>
    </row>
    <row r="49" spans="1:12" x14ac:dyDescent="0.35">
      <c r="A49" s="31" t="s">
        <v>61</v>
      </c>
      <c r="B49" s="31" t="s">
        <v>66</v>
      </c>
      <c r="C49" s="31" t="s">
        <v>99</v>
      </c>
      <c r="L49" s="30"/>
    </row>
    <row r="50" spans="1:12" x14ac:dyDescent="0.35">
      <c r="A50" s="31" t="s">
        <v>67</v>
      </c>
      <c r="B50" s="31" t="s">
        <v>106</v>
      </c>
      <c r="C50" s="31" t="s">
        <v>99</v>
      </c>
      <c r="L50" s="30"/>
    </row>
    <row r="51" spans="1:12" x14ac:dyDescent="0.35">
      <c r="A51" s="31" t="s">
        <v>67</v>
      </c>
      <c r="B51" s="31" t="s">
        <v>107</v>
      </c>
      <c r="C51" s="31" t="s">
        <v>99</v>
      </c>
      <c r="L51" s="30"/>
    </row>
    <row r="52" spans="1:12" x14ac:dyDescent="0.35">
      <c r="A52" s="31" t="s">
        <v>67</v>
      </c>
      <c r="B52" s="31" t="s">
        <v>70</v>
      </c>
      <c r="C52" s="31" t="s">
        <v>99</v>
      </c>
      <c r="L52" s="30"/>
    </row>
    <row r="53" spans="1:12" x14ac:dyDescent="0.35">
      <c r="A53" s="31" t="s">
        <v>67</v>
      </c>
      <c r="B53" s="31" t="s">
        <v>108</v>
      </c>
      <c r="C53" s="31" t="s">
        <v>99</v>
      </c>
      <c r="L53" s="30"/>
    </row>
    <row r="54" spans="1:12" x14ac:dyDescent="0.35">
      <c r="A54" s="31" t="s">
        <v>67</v>
      </c>
      <c r="B54" s="31" t="s">
        <v>109</v>
      </c>
      <c r="C54" s="31" t="s">
        <v>99</v>
      </c>
      <c r="L54" s="30"/>
    </row>
    <row r="55" spans="1:12" x14ac:dyDescent="0.35">
      <c r="A55" s="31" t="s">
        <v>73</v>
      </c>
      <c r="B55" s="31" t="s">
        <v>74</v>
      </c>
      <c r="C55" s="31" t="s">
        <v>99</v>
      </c>
      <c r="L55" s="30"/>
    </row>
    <row r="56" spans="1:12" x14ac:dyDescent="0.35">
      <c r="A56" s="31" t="s">
        <v>73</v>
      </c>
      <c r="B56" s="31" t="s">
        <v>75</v>
      </c>
      <c r="C56" s="31" t="s">
        <v>99</v>
      </c>
      <c r="L56" s="30"/>
    </row>
    <row r="57" spans="1:12" x14ac:dyDescent="0.35">
      <c r="A57" s="31" t="s">
        <v>73</v>
      </c>
      <c r="B57" s="31" t="s">
        <v>76</v>
      </c>
      <c r="C57" s="31" t="s">
        <v>99</v>
      </c>
      <c r="L57" s="30"/>
    </row>
    <row r="58" spans="1:12" x14ac:dyDescent="0.35">
      <c r="A58" s="31" t="s">
        <v>73</v>
      </c>
      <c r="B58" s="31" t="s">
        <v>77</v>
      </c>
      <c r="C58" s="31" t="s">
        <v>99</v>
      </c>
      <c r="L58" s="30"/>
    </row>
    <row r="59" spans="1:12" x14ac:dyDescent="0.35">
      <c r="A59" s="31" t="s">
        <v>73</v>
      </c>
      <c r="B59" s="31" t="s">
        <v>78</v>
      </c>
      <c r="C59" s="31" t="s">
        <v>99</v>
      </c>
      <c r="L59" s="30"/>
    </row>
    <row r="60" spans="1:12" x14ac:dyDescent="0.35">
      <c r="A60" s="31" t="s">
        <v>79</v>
      </c>
      <c r="B60" s="31" t="s">
        <v>80</v>
      </c>
      <c r="C60" s="31" t="s">
        <v>99</v>
      </c>
      <c r="L60" s="30"/>
    </row>
    <row r="61" spans="1:12" x14ac:dyDescent="0.35">
      <c r="A61" s="31" t="s">
        <v>79</v>
      </c>
      <c r="B61" s="31" t="s">
        <v>81</v>
      </c>
      <c r="C61" s="31" t="s">
        <v>99</v>
      </c>
      <c r="L61" s="30"/>
    </row>
    <row r="62" spans="1:12" x14ac:dyDescent="0.35">
      <c r="A62" s="31" t="s">
        <v>79</v>
      </c>
      <c r="B62" s="31" t="s">
        <v>82</v>
      </c>
      <c r="C62" s="31" t="s">
        <v>99</v>
      </c>
      <c r="L62" s="30"/>
    </row>
    <row r="63" spans="1:12" x14ac:dyDescent="0.35">
      <c r="A63" s="31" t="s">
        <v>79</v>
      </c>
      <c r="B63" s="31" t="s">
        <v>83</v>
      </c>
      <c r="C63" s="31" t="s">
        <v>99</v>
      </c>
      <c r="L63" s="30"/>
    </row>
    <row r="64" spans="1:12" x14ac:dyDescent="0.35">
      <c r="A64" s="31" t="s">
        <v>84</v>
      </c>
      <c r="B64" s="31" t="s">
        <v>110</v>
      </c>
      <c r="C64" s="31" t="s">
        <v>99</v>
      </c>
      <c r="L64" s="30"/>
    </row>
    <row r="65" spans="1:12" x14ac:dyDescent="0.35">
      <c r="A65" s="31" t="s">
        <v>84</v>
      </c>
      <c r="B65" s="31" t="s">
        <v>85</v>
      </c>
      <c r="C65" s="31" t="s">
        <v>99</v>
      </c>
      <c r="L65" s="30"/>
    </row>
    <row r="66" spans="1:12" x14ac:dyDescent="0.35">
      <c r="A66" s="31" t="s">
        <v>84</v>
      </c>
      <c r="B66" s="31" t="s">
        <v>86</v>
      </c>
      <c r="C66" s="31" t="s">
        <v>99</v>
      </c>
      <c r="L66" s="30"/>
    </row>
    <row r="67" spans="1:12" x14ac:dyDescent="0.35">
      <c r="A67" s="31" t="s">
        <v>84</v>
      </c>
      <c r="B67" s="31" t="s">
        <v>87</v>
      </c>
      <c r="C67" s="31" t="s">
        <v>99</v>
      </c>
      <c r="L67" s="30"/>
    </row>
    <row r="68" spans="1:12" x14ac:dyDescent="0.35">
      <c r="A68" s="31" t="s">
        <v>84</v>
      </c>
      <c r="B68" s="31" t="s">
        <v>88</v>
      </c>
      <c r="C68" s="31" t="s">
        <v>99</v>
      </c>
      <c r="L68" s="30"/>
    </row>
    <row r="69" spans="1:12" x14ac:dyDescent="0.35">
      <c r="A69" s="31" t="s">
        <v>84</v>
      </c>
      <c r="B69" s="31" t="s">
        <v>89</v>
      </c>
      <c r="C69" s="31" t="s">
        <v>99</v>
      </c>
      <c r="L69" s="30"/>
    </row>
    <row r="70" spans="1:12" x14ac:dyDescent="0.35">
      <c r="A70" s="31" t="s">
        <v>111</v>
      </c>
      <c r="B70" s="31" t="s">
        <v>112</v>
      </c>
      <c r="C70" s="31" t="s">
        <v>99</v>
      </c>
      <c r="J70" s="34" t="s">
        <v>112</v>
      </c>
      <c r="K70" s="33" t="s">
        <v>111</v>
      </c>
      <c r="L70" s="30"/>
    </row>
    <row r="71" spans="1:12" x14ac:dyDescent="0.35">
      <c r="A71" s="31" t="s">
        <v>111</v>
      </c>
      <c r="B71" s="31" t="s">
        <v>113</v>
      </c>
      <c r="C71" s="31" t="s">
        <v>99</v>
      </c>
      <c r="J71" s="34" t="s">
        <v>113</v>
      </c>
      <c r="K71" s="33" t="s">
        <v>111</v>
      </c>
      <c r="L71" s="30"/>
    </row>
    <row r="72" spans="1:12" x14ac:dyDescent="0.35">
      <c r="A72" s="31" t="s">
        <v>111</v>
      </c>
      <c r="B72" s="31" t="s">
        <v>114</v>
      </c>
      <c r="C72" s="31" t="s">
        <v>99</v>
      </c>
      <c r="J72" s="34" t="s">
        <v>114</v>
      </c>
      <c r="K72" s="33" t="s">
        <v>111</v>
      </c>
      <c r="L72" s="30"/>
    </row>
    <row r="73" spans="1:12" x14ac:dyDescent="0.35">
      <c r="A73" s="31" t="s">
        <v>111</v>
      </c>
      <c r="B73" s="31" t="s">
        <v>115</v>
      </c>
      <c r="C73" s="31" t="s">
        <v>99</v>
      </c>
      <c r="J73" s="34" t="s">
        <v>115</v>
      </c>
      <c r="K73" s="33" t="s">
        <v>111</v>
      </c>
      <c r="L73" s="30"/>
    </row>
    <row r="74" spans="1:12" x14ac:dyDescent="0.35">
      <c r="A74" s="31" t="s">
        <v>111</v>
      </c>
      <c r="B74" s="31" t="s">
        <v>116</v>
      </c>
      <c r="C74" s="31" t="s">
        <v>99</v>
      </c>
      <c r="J74" s="34" t="s">
        <v>116</v>
      </c>
      <c r="K74" s="33" t="s">
        <v>111</v>
      </c>
      <c r="L74" s="30"/>
    </row>
    <row r="75" spans="1:12" x14ac:dyDescent="0.35">
      <c r="A75" s="31" t="s">
        <v>117</v>
      </c>
      <c r="B75" s="31" t="s">
        <v>118</v>
      </c>
      <c r="C75" s="31" t="s">
        <v>99</v>
      </c>
      <c r="J75" s="34" t="s">
        <v>118</v>
      </c>
      <c r="K75" s="33" t="s">
        <v>117</v>
      </c>
      <c r="L75" s="30"/>
    </row>
    <row r="76" spans="1:12" x14ac:dyDescent="0.35">
      <c r="A76" s="31" t="s">
        <v>117</v>
      </c>
      <c r="B76" s="31" t="s">
        <v>119</v>
      </c>
      <c r="C76" s="31" t="s">
        <v>99</v>
      </c>
      <c r="J76" s="34" t="s">
        <v>119</v>
      </c>
      <c r="K76" s="33" t="s">
        <v>117</v>
      </c>
      <c r="L76" s="30"/>
    </row>
    <row r="77" spans="1:12" x14ac:dyDescent="0.35">
      <c r="A77" s="31" t="s">
        <v>117</v>
      </c>
      <c r="B77" s="31" t="s">
        <v>120</v>
      </c>
      <c r="C77" s="31" t="s">
        <v>99</v>
      </c>
      <c r="J77" s="34" t="s">
        <v>120</v>
      </c>
      <c r="K77" s="33" t="s">
        <v>117</v>
      </c>
      <c r="L77" s="30"/>
    </row>
    <row r="78" spans="1:12" x14ac:dyDescent="0.35">
      <c r="A78" s="31" t="s">
        <v>117</v>
      </c>
      <c r="B78" s="31" t="s">
        <v>121</v>
      </c>
      <c r="C78" s="31" t="s">
        <v>99</v>
      </c>
      <c r="J78" s="34" t="s">
        <v>121</v>
      </c>
      <c r="K78" s="33" t="s">
        <v>117</v>
      </c>
      <c r="L78" s="30"/>
    </row>
    <row r="79" spans="1:12" x14ac:dyDescent="0.35">
      <c r="A79" s="31" t="s">
        <v>117</v>
      </c>
      <c r="B79" s="31" t="s">
        <v>122</v>
      </c>
      <c r="C79" s="31" t="s">
        <v>99</v>
      </c>
      <c r="J79" s="34" t="s">
        <v>122</v>
      </c>
      <c r="K79" s="33" t="s">
        <v>117</v>
      </c>
      <c r="L79" s="30"/>
    </row>
    <row r="80" spans="1:12" x14ac:dyDescent="0.35">
      <c r="A80" s="31" t="s">
        <v>117</v>
      </c>
      <c r="B80" s="31" t="s">
        <v>122</v>
      </c>
      <c r="C80" s="31" t="s">
        <v>99</v>
      </c>
      <c r="J80" s="36" t="s">
        <v>122</v>
      </c>
      <c r="K80" s="35" t="s">
        <v>117</v>
      </c>
      <c r="L80" s="30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B1:V36"/>
  <sheetViews>
    <sheetView showGridLines="0" topLeftCell="B1" zoomScaleNormal="100" workbookViewId="0">
      <selection activeCell="B1" sqref="B1"/>
    </sheetView>
  </sheetViews>
  <sheetFormatPr defaultColWidth="9" defaultRowHeight="30" customHeight="1" x14ac:dyDescent="0.35"/>
  <cols>
    <col min="1" max="1" width="4.125" customWidth="1"/>
    <col min="2" max="2" width="30.375" customWidth="1"/>
    <col min="3" max="5" width="30.75" customWidth="1"/>
    <col min="6" max="6" width="64.625" customWidth="1"/>
    <col min="7" max="8" width="4.125" customWidth="1"/>
    <col min="15" max="15" width="8.625" customWidth="1"/>
    <col min="20" max="20" width="6" customWidth="1"/>
    <col min="21" max="21" width="4.375" customWidth="1"/>
  </cols>
  <sheetData>
    <row r="1" spans="2:21" ht="37.9" customHeight="1" x14ac:dyDescent="0.5">
      <c r="B1" s="21" t="s">
        <v>0</v>
      </c>
      <c r="C1" s="21"/>
      <c r="D1" s="21"/>
      <c r="E1" s="13"/>
      <c r="F1" s="13"/>
      <c r="G1" s="14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1"/>
    </row>
    <row r="2" spans="2:21" ht="58.9" customHeight="1" x14ac:dyDescent="0.35">
      <c r="B2" s="20" t="s">
        <v>123</v>
      </c>
      <c r="C2" s="20"/>
      <c r="D2" s="20"/>
      <c r="E2" s="15"/>
      <c r="F2" s="15"/>
      <c r="G2" s="14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1"/>
    </row>
    <row r="3" spans="2:21" ht="27.75" customHeight="1" x14ac:dyDescent="0.35">
      <c r="B3" s="63" t="s">
        <v>124</v>
      </c>
      <c r="C3" s="62"/>
      <c r="D3" s="61"/>
      <c r="E3" s="18"/>
      <c r="F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2:21" ht="45.75" customHeight="1" x14ac:dyDescent="0.35">
      <c r="U4" s="1"/>
    </row>
    <row r="5" spans="2:21" s="2" customFormat="1" ht="30" customHeight="1" x14ac:dyDescent="0.35">
      <c r="B5" s="54" t="s">
        <v>125</v>
      </c>
      <c r="Q5"/>
      <c r="U5" s="3"/>
    </row>
    <row r="6" spans="2:21" ht="30" customHeight="1" x14ac:dyDescent="0.35">
      <c r="B6" s="16" t="s">
        <v>126</v>
      </c>
      <c r="C6" s="17" t="s">
        <v>4</v>
      </c>
      <c r="D6" s="17" t="s">
        <v>5</v>
      </c>
      <c r="E6" s="17" t="s">
        <v>7</v>
      </c>
      <c r="F6" s="17" t="s">
        <v>127</v>
      </c>
      <c r="U6" s="1"/>
    </row>
    <row r="7" spans="2:21" ht="30" customHeight="1" x14ac:dyDescent="0.35">
      <c r="B7" s="22" t="s">
        <v>13</v>
      </c>
      <c r="C7" s="26">
        <v>6000</v>
      </c>
      <c r="D7" s="26">
        <v>6000</v>
      </c>
      <c r="E7" s="27">
        <f>Table2[[#This Row],[ACTUAL]]-Table2[[#This Row],[ESTIMATED]]</f>
        <v>0</v>
      </c>
      <c r="F7" s="23">
        <f>Table2[[#This Row],[ACTUAL]]/Table2[[#This Row],[ESTIMATED]]-1</f>
        <v>0</v>
      </c>
      <c r="U7" s="1"/>
    </row>
    <row r="8" spans="2:21" ht="30" customHeight="1" x14ac:dyDescent="0.35">
      <c r="B8" s="22" t="s">
        <v>128</v>
      </c>
      <c r="C8" s="26">
        <f>Expenses[[#Totals],[Column1]]</f>
        <v>4455.63</v>
      </c>
      <c r="D8" s="26">
        <f>Expenses[[#Totals],[ACTUAL]]</f>
        <v>4455.63</v>
      </c>
      <c r="E8" s="27">
        <f>Table2[[#This Row],[ACTUAL]]-Table2[[#This Row],[ESTIMATED]]</f>
        <v>0</v>
      </c>
      <c r="F8" s="59">
        <f>Table2[[#This Row],[ACTUAL]]/Table2[[#This Row],[ESTIMATED]]-1</f>
        <v>0</v>
      </c>
      <c r="U8" s="1"/>
    </row>
    <row r="9" spans="2:21" ht="30" customHeight="1" x14ac:dyDescent="0.35">
      <c r="B9" s="24" t="s">
        <v>129</v>
      </c>
      <c r="C9" s="29">
        <f>C7-C8</f>
        <v>1544.37</v>
      </c>
      <c r="D9" s="29">
        <f t="shared" ref="D9" si="0">D7-D8</f>
        <v>1544.37</v>
      </c>
      <c r="E9" s="27">
        <f>SUBTOTAL(109,Table2[DIFFERENCE])</f>
        <v>0</v>
      </c>
      <c r="F9" s="23">
        <f>Table2[[#Totals],[ACTUAL]]/Table2[[#Totals],[ESTIMATED]]-1</f>
        <v>0</v>
      </c>
      <c r="U9" s="1"/>
    </row>
    <row r="10" spans="2:21" ht="30" customHeight="1" x14ac:dyDescent="0.35">
      <c r="B10" s="55"/>
      <c r="C10" s="56"/>
      <c r="D10" s="56"/>
      <c r="E10" s="56"/>
      <c r="F10" s="57"/>
      <c r="U10" s="1"/>
    </row>
    <row r="11" spans="2:21" ht="30" customHeight="1" x14ac:dyDescent="0.35">
      <c r="B11" s="55"/>
      <c r="C11" s="56"/>
      <c r="D11" s="56"/>
      <c r="E11" s="56"/>
      <c r="F11" s="57"/>
      <c r="U11" s="1"/>
    </row>
    <row r="12" spans="2:21" ht="30" customHeight="1" x14ac:dyDescent="0.35">
      <c r="U12" s="1"/>
    </row>
    <row r="13" spans="2:21" ht="30" customHeight="1" x14ac:dyDescent="0.35">
      <c r="B13" s="54" t="s">
        <v>128</v>
      </c>
      <c r="C13" s="18"/>
      <c r="D13" s="18"/>
      <c r="E13" s="18"/>
      <c r="R13" s="11"/>
      <c r="S13" s="11"/>
    </row>
    <row r="14" spans="2:21" ht="30" customHeight="1" x14ac:dyDescent="0.35">
      <c r="B14" s="43" t="s">
        <v>130</v>
      </c>
      <c r="C14" s="43" t="s">
        <v>4</v>
      </c>
      <c r="D14" s="43" t="s">
        <v>5</v>
      </c>
      <c r="E14" s="43" t="s">
        <v>7</v>
      </c>
      <c r="F14" s="43" t="s">
        <v>131</v>
      </c>
      <c r="R14" s="11"/>
      <c r="S14" s="11"/>
    </row>
    <row r="15" spans="2:21" ht="30" customHeight="1" x14ac:dyDescent="0.35">
      <c r="B15" s="42" t="s">
        <v>132</v>
      </c>
      <c r="C15" s="41">
        <v>2250</v>
      </c>
      <c r="D15" s="41">
        <v>2250</v>
      </c>
      <c r="E15" s="58">
        <f>IFERROR(Table813[[#This Row],[ACTUAL]]-Table813[[#This Row],[ESTIMATED]],"-")</f>
        <v>0</v>
      </c>
      <c r="F15" s="46" t="str">
        <f>IF(Table813[[#This Row],[DIFFERENCE]]&lt;0,"You are under budget!","You are over budget.")</f>
        <v>You are over budget.</v>
      </c>
      <c r="R15" s="11"/>
      <c r="S15" s="11"/>
    </row>
    <row r="16" spans="2:21" ht="30" customHeight="1" x14ac:dyDescent="0.35">
      <c r="B16" s="42" t="s">
        <v>133</v>
      </c>
      <c r="C16" s="41">
        <v>0</v>
      </c>
      <c r="D16" s="41">
        <f>IFERROR(VLOOKUP(Table813[[#This Row],[EXPENSE CATEGORIES]],'Expense Inputs'!B:F,4,FALSE),"-")</f>
        <v>0</v>
      </c>
      <c r="E16" s="58">
        <f>IFERROR(Table813[[#This Row],[ACTUAL]]-Table813[[#This Row],[ESTIMATED]],"-")</f>
        <v>0</v>
      </c>
      <c r="F16" s="46" t="str">
        <f>IF(Table813[[#This Row],[DIFFERENCE]]&lt;0,"You are under budget!","You are over budget.")</f>
        <v>You are over budget.</v>
      </c>
      <c r="R16" s="11"/>
      <c r="S16" s="11"/>
    </row>
    <row r="17" spans="2:22" ht="30" customHeight="1" x14ac:dyDescent="0.35">
      <c r="B17" s="42" t="s">
        <v>134</v>
      </c>
      <c r="C17" s="41">
        <f>IFERROR(VLOOKUP(Table813[[#This Row],[EXPENSE CATEGORIES]],'Expense Inputs'!B:F,3,FALSE),"-")</f>
        <v>0</v>
      </c>
      <c r="D17" s="41">
        <f>IFERROR(VLOOKUP(Table813[[#This Row],[EXPENSE CATEGORIES]],'Expense Inputs'!B:F,4,FALSE),"-")</f>
        <v>0</v>
      </c>
      <c r="E17" s="58">
        <f>IFERROR(Table813[[#This Row],[ACTUAL]]-Table813[[#This Row],[ESTIMATED]],"-")</f>
        <v>0</v>
      </c>
      <c r="F17" s="46" t="str">
        <f>IF(Table813[[#This Row],[DIFFERENCE]]&lt;0,"You are under budget!","You are over budget.")</f>
        <v>You are over budget.</v>
      </c>
      <c r="R17" s="11"/>
      <c r="S17" s="11"/>
    </row>
    <row r="18" spans="2:22" ht="30" customHeight="1" x14ac:dyDescent="0.35">
      <c r="B18" s="42" t="s">
        <v>135</v>
      </c>
      <c r="C18" s="41">
        <f>IFERROR(VLOOKUP(Table813[[#This Row],[EXPENSE CATEGORIES]],'Expense Inputs'!B:F,3,FALSE),"-")</f>
        <v>40</v>
      </c>
      <c r="D18" s="41">
        <f>IFERROR(VLOOKUP(Table813[[#This Row],[EXPENSE CATEGORIES]],'Expense Inputs'!B:F,4,FALSE),"-")</f>
        <v>40</v>
      </c>
      <c r="E18" s="58">
        <f>IFERROR(Table813[[#This Row],[ACTUAL]]-Table813[[#This Row],[ESTIMATED]],"-")</f>
        <v>0</v>
      </c>
      <c r="F18" s="46" t="str">
        <f>IF(Table813[[#This Row],[DIFFERENCE]]&lt;0,"You are under budget!","You are over budget.")</f>
        <v>You are over budget.</v>
      </c>
      <c r="R18" s="11"/>
      <c r="S18" s="11"/>
    </row>
    <row r="19" spans="2:22" ht="30" customHeight="1" x14ac:dyDescent="0.35">
      <c r="B19" s="42" t="s">
        <v>136</v>
      </c>
      <c r="C19" s="41">
        <v>0</v>
      </c>
      <c r="D19" s="41"/>
      <c r="E19" s="58">
        <f>IFERROR(Table813[[#This Row],[ACTUAL]]-Table813[[#This Row],[ESTIMATED]],"-")</f>
        <v>0</v>
      </c>
      <c r="F19" s="46" t="str">
        <f>IF(Table813[[#This Row],[DIFFERENCE]]&lt;0,"You are under budget!","You are over budget.")</f>
        <v>You are over budget.</v>
      </c>
      <c r="R19" s="11"/>
      <c r="S19" s="11"/>
    </row>
    <row r="20" spans="2:22" ht="30" customHeight="1" x14ac:dyDescent="1">
      <c r="B20" s="42" t="s">
        <v>137</v>
      </c>
      <c r="C20" s="41">
        <v>150</v>
      </c>
      <c r="D20" s="41" t="str">
        <f>IFERROR(VLOOKUP(Table813[[#This Row],[EXPENSE CATEGORIES]],'Expense Inputs'!B:F,4,FALSE),"-")</f>
        <v>-</v>
      </c>
      <c r="E20" s="58" t="str">
        <f>IFERROR(Table813[[#This Row],[ACTUAL]]-Table813[[#This Row],[ESTIMATED]],"-")</f>
        <v>-</v>
      </c>
      <c r="F20" s="46" t="str">
        <f>IF(Table813[[#This Row],[DIFFERENCE]]&lt;0,"You are under budget!","You are over budget.")</f>
        <v>You are over budget.</v>
      </c>
      <c r="R20" s="11"/>
      <c r="S20" s="11"/>
      <c r="T20" s="12"/>
      <c r="U20" s="12"/>
      <c r="V20" s="12"/>
    </row>
    <row r="21" spans="2:22" ht="30" customHeight="1" x14ac:dyDescent="0.35">
      <c r="B21" s="42" t="s">
        <v>138</v>
      </c>
      <c r="C21" s="41">
        <v>800</v>
      </c>
      <c r="D21" s="41">
        <v>800</v>
      </c>
      <c r="E21" s="58">
        <f>IFERROR(Table813[[#This Row],[ACTUAL]]-Table813[[#This Row],[ESTIMATED]],"-")</f>
        <v>0</v>
      </c>
      <c r="F21" s="46" t="str">
        <f>IF(Table813[[#This Row],[DIFFERENCE]]&lt;0,"You are under budget!","You are over budget.")</f>
        <v>You are over budget.</v>
      </c>
      <c r="R21" s="11"/>
      <c r="S21" s="11"/>
    </row>
    <row r="22" spans="2:22" ht="30" customHeight="1" x14ac:dyDescent="0.35">
      <c r="B22" s="42" t="s">
        <v>139</v>
      </c>
      <c r="C22" s="41">
        <f>IFERROR(VLOOKUP(Table813[[#This Row],[EXPENSE CATEGORIES]],'Expense Inputs'!B:F,3,FALSE),"-")</f>
        <v>0</v>
      </c>
      <c r="D22" s="41">
        <f>IFERROR(VLOOKUP(Table813[[#This Row],[EXPENSE CATEGORIES]],'Expense Inputs'!B:F,4,FALSE),"-")</f>
        <v>0</v>
      </c>
      <c r="E22" s="58">
        <f>IFERROR(Table813[[#This Row],[ACTUAL]]-Table813[[#This Row],[ESTIMATED]],"-")</f>
        <v>0</v>
      </c>
      <c r="F22" s="46" t="str">
        <f>IF(Table813[[#This Row],[DIFFERENCE]]&lt;0,"You are under budget!","You are over budget.")</f>
        <v>You are over budget.</v>
      </c>
      <c r="R22" s="11"/>
      <c r="S22" s="11"/>
    </row>
    <row r="23" spans="2:22" ht="30" customHeight="1" x14ac:dyDescent="0.35">
      <c r="B23" s="42" t="s">
        <v>140</v>
      </c>
      <c r="C23" s="41">
        <v>1000</v>
      </c>
      <c r="D23" s="41">
        <v>1000</v>
      </c>
      <c r="E23" s="58">
        <f>IFERROR(Table813[[#This Row],[ACTUAL]]-Table813[[#This Row],[ESTIMATED]],"-")</f>
        <v>0</v>
      </c>
      <c r="F23" s="46" t="str">
        <f>IF(Table813[[#This Row],[DIFFERENCE]]&lt;0,"You are under budget!","You are over budget.")</f>
        <v>You are over budget.</v>
      </c>
      <c r="R23" s="11"/>
      <c r="S23" s="11"/>
    </row>
    <row r="24" spans="2:22" ht="30" customHeight="1" x14ac:dyDescent="0.35">
      <c r="B24" s="42" t="s">
        <v>141</v>
      </c>
      <c r="C24" s="41">
        <v>40</v>
      </c>
      <c r="D24" s="41">
        <v>40</v>
      </c>
      <c r="E24" s="58">
        <f>IFERROR(Table813[[#This Row],[ACTUAL]]-Table813[[#This Row],[ESTIMATED]],"-")</f>
        <v>0</v>
      </c>
      <c r="F24" s="46" t="str">
        <f>IF(Table813[[#This Row],[DIFFERENCE]]&lt;0,"You are under budget!","You are over budget.")</f>
        <v>You are over budget.</v>
      </c>
      <c r="R24" s="11"/>
      <c r="S24" s="11"/>
    </row>
    <row r="25" spans="2:22" ht="30" customHeight="1" x14ac:dyDescent="0.35">
      <c r="B25" s="42" t="s">
        <v>57</v>
      </c>
      <c r="C25" s="41">
        <v>300</v>
      </c>
      <c r="D25" s="41">
        <v>300</v>
      </c>
      <c r="E25" s="58">
        <f>IFERROR(Table813[[#This Row],[ACTUAL]]-Table813[[#This Row],[ESTIMATED]],"-")</f>
        <v>0</v>
      </c>
      <c r="F25" s="46" t="str">
        <f>IF(Table813[[#This Row],[DIFFERENCE]]&lt;0,"You are under budget!","You are over budget.")</f>
        <v>You are over budget.</v>
      </c>
      <c r="R25" s="11"/>
      <c r="S25" s="11"/>
    </row>
    <row r="26" spans="2:22" ht="30" customHeight="1" x14ac:dyDescent="0.35">
      <c r="B26" s="42" t="s">
        <v>142</v>
      </c>
      <c r="C26" s="41">
        <v>200</v>
      </c>
      <c r="D26" s="41">
        <v>200</v>
      </c>
      <c r="E26" s="58">
        <f>IFERROR(Table813[[#This Row],[ACTUAL]]-Table813[[#This Row],[ESTIMATED]],"-")</f>
        <v>0</v>
      </c>
      <c r="F26" s="46" t="str">
        <f>IF(Table813[[#This Row],[DIFFERENCE]]&lt;0,"You are under budget!","You are over budget.")</f>
        <v>You are over budget.</v>
      </c>
      <c r="R26" s="11"/>
      <c r="S26" s="11"/>
    </row>
    <row r="27" spans="2:22" ht="30" customHeight="1" thickBot="1" x14ac:dyDescent="0.4">
      <c r="B27" s="42" t="s">
        <v>143</v>
      </c>
      <c r="C27" s="41">
        <f>IFERROR(VLOOKUP(Table813[[#This Row],[EXPENSE CATEGORIES]],'Expense Inputs'!B:F,3,FALSE),"-")</f>
        <v>0</v>
      </c>
      <c r="D27" s="41">
        <f>IFERROR(VLOOKUP(Table813[[#This Row],[EXPENSE CATEGORIES]],'Expense Inputs'!B:F,4,FALSE),"-")</f>
        <v>0</v>
      </c>
      <c r="E27" s="58">
        <f>IFERROR(Table813[[#This Row],[ACTUAL]]-Table813[[#This Row],[ESTIMATED]],"-")</f>
        <v>0</v>
      </c>
      <c r="F27" s="46" t="str">
        <f>IF(Table813[[#This Row],[DIFFERENCE]]&lt;0,"You are under budget!","You are over budget.")</f>
        <v>You are over budget.</v>
      </c>
      <c r="R27" s="11"/>
      <c r="S27" s="11"/>
    </row>
    <row r="28" spans="2:22" ht="30" customHeight="1" thickTop="1" x14ac:dyDescent="0.35">
      <c r="B28" s="44" t="s">
        <v>128</v>
      </c>
      <c r="C28" s="45">
        <f>SUBTOTAL(9,C15:C27)</f>
        <v>4780</v>
      </c>
      <c r="D28" s="45">
        <f>SUBTOTAL(9,D15:D27)</f>
        <v>4630</v>
      </c>
      <c r="E28" s="58">
        <f>Table813[[#This Row],[ACTUAL]]-Table813[[#This Row],[ESTIMATED]]</f>
        <v>-150</v>
      </c>
      <c r="F28" s="45" t="str">
        <f>IF(Table813[[#This Row],[DIFFERENCE]]&lt;0,"You are under budget!","You are over budget.")</f>
        <v>You are under budget!</v>
      </c>
      <c r="R28" s="11"/>
      <c r="S28" s="11"/>
    </row>
    <row r="29" spans="2:22" ht="30" customHeight="1" x14ac:dyDescent="0.35">
      <c r="R29" s="11"/>
      <c r="S29" s="11"/>
    </row>
    <row r="30" spans="2:22" ht="30" customHeight="1" x14ac:dyDescent="0.35">
      <c r="R30" s="11"/>
      <c r="S30" s="11"/>
    </row>
    <row r="31" spans="2:22" ht="30" customHeight="1" x14ac:dyDescent="0.35">
      <c r="R31" s="11"/>
      <c r="S31" s="11"/>
    </row>
    <row r="32" spans="2:22" ht="30" customHeight="1" x14ac:dyDescent="0.35">
      <c r="R32" s="11"/>
      <c r="S32" s="11"/>
    </row>
    <row r="33" spans="18:19" ht="30" customHeight="1" x14ac:dyDescent="0.35">
      <c r="R33" s="11"/>
      <c r="S33" s="11"/>
    </row>
    <row r="34" spans="18:19" ht="30" customHeight="1" x14ac:dyDescent="0.35">
      <c r="R34" s="11"/>
      <c r="S34" s="11"/>
    </row>
    <row r="35" spans="18:19" ht="30" customHeight="1" x14ac:dyDescent="0.35">
      <c r="R35" s="11"/>
      <c r="S35" s="11"/>
    </row>
    <row r="36" spans="18:19" ht="30" customHeight="1" x14ac:dyDescent="0.35">
      <c r="R36" s="11"/>
      <c r="S36" s="11"/>
    </row>
  </sheetData>
  <sheetProtection insertColumns="0" insertRows="0" deleteColumns="0" deleteRows="0" selectLockedCells="1" autoFilter="0"/>
  <mergeCells count="1">
    <mergeCell ref="H1:T2"/>
  </mergeCells>
  <conditionalFormatting sqref="E22">
    <cfRule type="cellIs" dxfId="38" priority="29" operator="lessThan">
      <formula>0</formula>
    </cfRule>
  </conditionalFormatting>
  <conditionalFormatting sqref="C9:D11">
    <cfRule type="cellIs" dxfId="37" priority="24" operator="lessThan">
      <formula>0</formula>
    </cfRule>
  </conditionalFormatting>
  <conditionalFormatting sqref="C8:F8">
    <cfRule type="cellIs" dxfId="36" priority="20" operator="lessThan">
      <formula>0</formula>
    </cfRule>
  </conditionalFormatting>
  <conditionalFormatting sqref="F7:F11">
    <cfRule type="cellIs" dxfId="35" priority="18" operator="greaterThan">
      <formula>0</formula>
    </cfRule>
    <cfRule type="cellIs" dxfId="34" priority="19" operator="lessThan">
      <formula>0</formula>
    </cfRule>
  </conditionalFormatting>
  <conditionalFormatting sqref="F9:F11">
    <cfRule type="cellIs" dxfId="33" priority="17" operator="lessThan">
      <formula>0</formula>
    </cfRule>
  </conditionalFormatting>
  <conditionalFormatting sqref="F7">
    <cfRule type="cellIs" dxfId="32" priority="15" operator="lessThan">
      <formula>0</formula>
    </cfRule>
    <cfRule type="cellIs" dxfId="31" priority="16" operator="greaterThan">
      <formula>0</formula>
    </cfRule>
  </conditionalFormatting>
  <conditionalFormatting sqref="F9:F11">
    <cfRule type="cellIs" dxfId="30" priority="14" operator="lessThan">
      <formula>0</formula>
    </cfRule>
  </conditionalFormatting>
  <conditionalFormatting sqref="F9:F11">
    <cfRule type="cellIs" dxfId="29" priority="12" operator="lessThan">
      <formula>0</formula>
    </cfRule>
    <cfRule type="cellIs" dxfId="28" priority="13" operator="greaterThan">
      <formula>0</formula>
    </cfRule>
  </conditionalFormatting>
  <conditionalFormatting sqref="E7">
    <cfRule type="cellIs" dxfId="27" priority="10" operator="greaterThan">
      <formula>0</formula>
    </cfRule>
    <cfRule type="cellIs" dxfId="26" priority="11" operator="lessThan">
      <formula>0</formula>
    </cfRule>
  </conditionalFormatting>
  <conditionalFormatting sqref="E9:E11">
    <cfRule type="cellIs" dxfId="25" priority="9" operator="lessThan">
      <formula>0</formula>
    </cfRule>
  </conditionalFormatting>
  <conditionalFormatting sqref="E9:E11">
    <cfRule type="cellIs" dxfId="24" priority="7" operator="greaterThan">
      <formula>0</formula>
    </cfRule>
    <cfRule type="cellIs" dxfId="23" priority="8" operator="lessThan">
      <formula>0</formula>
    </cfRule>
  </conditionalFormatting>
  <conditionalFormatting sqref="E8">
    <cfRule type="cellIs" dxfId="22" priority="5" operator="greaterThan">
      <formula>0</formula>
    </cfRule>
    <cfRule type="cellIs" dxfId="21" priority="6" operator="lessThan">
      <formula>0</formula>
    </cfRule>
  </conditionalFormatting>
  <conditionalFormatting sqref="E28:F28">
    <cfRule type="cellIs" dxfId="20" priority="4" operator="lessThan">
      <formula>0</formula>
    </cfRule>
  </conditionalFormatting>
  <conditionalFormatting sqref="E15:E28">
    <cfRule type="cellIs" dxfId="19" priority="2" operator="greaterThan">
      <formula>0</formula>
    </cfRule>
    <cfRule type="cellIs" dxfId="18" priority="3" operator="lessThan">
      <formula>0</formula>
    </cfRule>
  </conditionalFormatting>
  <conditionalFormatting sqref="E15:E28">
    <cfRule type="cellIs" dxfId="17" priority="1" operator="equal">
      <formula>"-"</formula>
    </cfRule>
  </conditionalFormatting>
  <dataValidations disablePrompts="1" xWindow="491" yWindow="291" count="4">
    <dataValidation allowBlank="1" showInputMessage="1" showErrorMessage="1" prompt="Enter Company Name in this cell" sqref="N18" xr:uid="{00000000-0002-0000-0000-000001000000}"/>
    <dataValidation allowBlank="1" showInputMessage="1" showErrorMessage="1" prompt="Enter Date in this cell. Budget overview chart is in cell B9" sqref="Q19:R19" xr:uid="{00000000-0002-0000-0000-000002000000}"/>
    <dataValidation allowBlank="1" showInputMessage="1" showErrorMessage="1" prompt="Title of this worksheet is in this cell. Enter Date in cell at right. Budget Totals are automatically calculated in Totals table starting in cell B4" sqref="N19:P22 Q20:V20" xr:uid="{00000000-0002-0000-0000-00000C000000}"/>
    <dataValidation allowBlank="1" showInputMessage="1" showErrorMessage="1" errorTitle="ALERT" error="This cell is automatically populated and should not be overwitten. Overwriting this cell would break calculations in this worksheet." sqref="E15:E27" xr:uid="{D63A6D3A-3050-4E13-980C-5855824BE398}"/>
  </dataValidations>
  <printOptions horizontalCentered="1"/>
  <pageMargins left="0.25" right="0.25" top="0.25" bottom="0.25" header="0" footer="0"/>
  <pageSetup scale="50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TM23032109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Income Inputs</vt:lpstr>
      <vt:lpstr>Expense Inputs</vt:lpstr>
      <vt:lpstr>All Categories</vt:lpstr>
      <vt:lpstr>Budget Summary</vt:lpstr>
      <vt:lpstr>BUDGET_Title</vt:lpstr>
      <vt:lpstr>ColumnTitle1</vt:lpstr>
      <vt:lpstr>COMPANY_NAME</vt:lpstr>
      <vt:lpstr>'Income Inputs'!Print_Titles</vt:lpstr>
      <vt:lpstr>Title2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2022-01-03T23:29:59Z</dcterms:created>
  <dcterms:modified xsi:type="dcterms:W3CDTF">2022-07-13T16:21:07Z</dcterms:modified>
  <cp:category/>
  <cp:contentStatus/>
</cp:coreProperties>
</file>